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20" windowWidth="12120" windowHeight="8820" tabRatio="935" firstSheet="28" activeTab="35"/>
  </bookViews>
  <sheets>
    <sheet name="First-Page" sheetId="110" r:id="rId1"/>
    <sheet name="Sheet1" sheetId="134" r:id="rId2"/>
    <sheet name="AT-1-Gen_Info " sheetId="56" r:id="rId3"/>
    <sheet name="AT-2-S1 BUDGET" sheetId="96" r:id="rId4"/>
    <sheet name="AT_2A_fundflow" sheetId="99" r:id="rId5"/>
    <sheet name="AT-2B_DBT" sheetId="153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E" sheetId="154" r:id="rId33"/>
    <sheet name="AT-10 F CCH training" sheetId="150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-28B_Kitchen repair" sheetId="151" r:id="rId64"/>
    <sheet name="AT29_Replacement KD " sheetId="72" r:id="rId65"/>
    <sheet name="AT29_A_Replacement KD" sheetId="152" r:id="rId66"/>
    <sheet name="AT-30_Coook-cum-Helper" sheetId="65" r:id="rId67"/>
    <sheet name="AT_31_Budget_provision " sheetId="98" r:id="rId68"/>
    <sheet name="AT32_Drought Pry Util" sheetId="148" r:id="rId69"/>
    <sheet name="AT-32A Drought UPry Util" sheetId="149" r:id="rId70"/>
  </sheets>
  <externalReferences>
    <externalReference r:id="rId71"/>
  </externalReferences>
  <definedNames>
    <definedName name="_xlnm.Print_Area" localSheetId="43">'AT_17_Coverage-RBSK '!$A$1:$L$53</definedName>
    <definedName name="_xlnm.Print_Area" localSheetId="45">AT_19_Impl_Agency!$A$1:$J$57</definedName>
    <definedName name="_xlnm.Print_Area" localSheetId="46">'AT_20_CentralCookingagency '!$A$1:$M$52</definedName>
    <definedName name="_xlnm.Print_Area" localSheetId="61">AT_28_RqmtKitchen!$A$1:$S$52</definedName>
    <definedName name="_xlnm.Print_Area" localSheetId="4">AT_2A_fundflow!$A$1:$V$34</definedName>
    <definedName name="_xlnm.Print_Area" localSheetId="67">'AT_31_Budget_provision '!$A$1:$W$37</definedName>
    <definedName name="_xlnm.Print_Area" localSheetId="29">'AT-10 B'!$A$1:$J$53</definedName>
    <definedName name="_xlnm.Print_Area" localSheetId="30">'AT-10 C'!$A$1:$J$22</definedName>
    <definedName name="_xlnm.Print_Area" localSheetId="33">'AT-10 F CCH training'!$A$1:$H$46</definedName>
    <definedName name="_xlnm.Print_Area" localSheetId="27">AT10_MME!$A$1:$H$34</definedName>
    <definedName name="_xlnm.Print_Area" localSheetId="28">AT10A_!$A$1:$E$51</definedName>
    <definedName name="_xlnm.Print_Area" localSheetId="31">'AT-10D'!$A$1:$H$30</definedName>
    <definedName name="_xlnm.Print_Area" localSheetId="34">'AT11_KS Year wise'!$A$1:$K$32</definedName>
    <definedName name="_xlnm.Print_Area" localSheetId="35">'AT11A_KS-District wise'!$A$1:$K$51</definedName>
    <definedName name="_xlnm.Print_Area" localSheetId="36">'AT12_KD-New'!$A$1:$K$52</definedName>
    <definedName name="_xlnm.Print_Area" localSheetId="37">'AT12A_KD-Replacement'!$A$1:$K$52</definedName>
    <definedName name="_xlnm.Print_Area" localSheetId="39">'AT-14'!$A$1:$N$48</definedName>
    <definedName name="_xlnm.Print_Area" localSheetId="40">'AT-14 A'!$A$1:$H$19</definedName>
    <definedName name="_xlnm.Print_Area" localSheetId="41">'AT-15'!$A$1:$L$50</definedName>
    <definedName name="_xlnm.Print_Area" localSheetId="42">'AT-16'!$A$1:$K$48</definedName>
    <definedName name="_xlnm.Print_Area" localSheetId="44">'AT18_Details_Community '!$A$1:$F$51</definedName>
    <definedName name="_xlnm.Print_Area" localSheetId="2">'AT-1-Gen_Info '!$A$1:$T$50</definedName>
    <definedName name="_xlnm.Print_Area" localSheetId="49">'AT-23 MIS'!$A$1:$P$52</definedName>
    <definedName name="_xlnm.Print_Area" localSheetId="50">'AT-23A _AMS'!$A$1:$M$56</definedName>
    <definedName name="_xlnm.Print_Area" localSheetId="51">'AT-24'!$A$1:$M$52</definedName>
    <definedName name="_xlnm.Print_Area" localSheetId="52">'AT-25'!$A$1:$G$46</definedName>
    <definedName name="_xlnm.Print_Area" localSheetId="54">AT26_NoWD!$A$1:$L$33</definedName>
    <definedName name="_xlnm.Print_Area" localSheetId="55">AT26A_NoWD!$A$1:$K$33</definedName>
    <definedName name="_xlnm.Print_Area" localSheetId="56">AT27_Req_FG_CA_Pry!$A$1:$T$53</definedName>
    <definedName name="_xlnm.Print_Area" localSheetId="57">'AT27A_Req_FG_CA_U Pry '!$A$1:$T$52</definedName>
    <definedName name="_xlnm.Print_Area" localSheetId="58">'AT27B_Req_FG_CA_N CLP'!$A$1:$P$52</definedName>
    <definedName name="_xlnm.Print_Area" localSheetId="59">'AT27C_Req_FG_Drought -Pry '!$A$1:$P$52</definedName>
    <definedName name="_xlnm.Print_Area" localSheetId="60">'AT27D_Req_FG_Drought -UPry '!$A$1:$P$51</definedName>
    <definedName name="_xlnm.Print_Area" localSheetId="62">'AT-28A_RqmtPlinthArea'!$A$1:$S$50</definedName>
    <definedName name="_xlnm.Print_Area" localSheetId="63">'AT-28B_Kitchen repair'!$A$1:$G$50</definedName>
    <definedName name="_xlnm.Print_Area" localSheetId="65">'AT29_A_Replacement KD'!$A$1:$V$53</definedName>
    <definedName name="_xlnm.Print_Area" localSheetId="64">'AT29_Replacement KD '!$A$1:$V$50</definedName>
    <definedName name="_xlnm.Print_Area" localSheetId="3">'AT-2-S1 BUDGET'!$A$1:$V$39</definedName>
    <definedName name="_xlnm.Print_Area" localSheetId="6">'AT-3'!$A$1:$H$49</definedName>
    <definedName name="_xlnm.Print_Area" localSheetId="66">'AT-30_Coook-cum-Helper'!$A$1:$L$51</definedName>
    <definedName name="_xlnm.Print_Area" localSheetId="68">'AT32_Drought Pry Util'!$A$1:$L$53</definedName>
    <definedName name="_xlnm.Print_Area" localSheetId="69">'AT-32A Drought UPry Util'!$A$1:$L$53</definedName>
    <definedName name="_xlnm.Print_Area" localSheetId="7">'AT3A_cvrg(Insti)_PY'!$A$1:$N$54</definedName>
    <definedName name="_xlnm.Print_Area" localSheetId="8">'AT3B_cvrg(Insti)_UPY '!$A$1:$N$53</definedName>
    <definedName name="_xlnm.Print_Area" localSheetId="9">'AT3C_cvrg(Insti)_UPY '!$A$1:$N$52</definedName>
    <definedName name="_xlnm.Print_Area" localSheetId="12">'AT-4B'!$A$1:$H$49</definedName>
    <definedName name="_xlnm.Print_Area" localSheetId="24">'AT-8_Hon_CCH_Pry'!$A$1:$V$55</definedName>
    <definedName name="_xlnm.Print_Area" localSheetId="25">'AT-8A_Hon_CCH_UPry'!$A$1:$V$54</definedName>
    <definedName name="_xlnm.Print_Area" localSheetId="26">AT9_TA!$A$1:$I$50</definedName>
    <definedName name="_xlnm.Print_Area" localSheetId="10">'enrolment vs availed_PY'!$A$1:$Q$52</definedName>
    <definedName name="_xlnm.Print_Area" localSheetId="11">'enrolment vs availed_UPY'!$A$1:$Q$55</definedName>
    <definedName name="_xlnm.Print_Area" localSheetId="38">'Mode of cooking'!$A$1:$H$48</definedName>
    <definedName name="_xlnm.Print_Area" localSheetId="1">Sheet1!$A$1:$J$24</definedName>
    <definedName name="_xlnm.Print_Area" localSheetId="53">'Sheet1 (2)'!$A$1:$J$24</definedName>
    <definedName name="_xlnm.Print_Area" localSheetId="13">T5_PLAN_vs_PRFM!$A$1:$J$52</definedName>
    <definedName name="_xlnm.Print_Area" localSheetId="14">'T5A_PLAN_vs_PRFM '!$A$1:$J$51</definedName>
    <definedName name="_xlnm.Print_Area" localSheetId="15">'T5B_PLAN_vs_PRFM  (2)'!$A$1:$J$52</definedName>
    <definedName name="_xlnm.Print_Area" localSheetId="16">'T5C_Drought_PLAN_vs_PRFM '!$A$1:$J$51</definedName>
    <definedName name="_xlnm.Print_Area" localSheetId="17">'T5D_Drought_PLAN_vs_PRFM  '!$A$1:$J$51</definedName>
    <definedName name="_xlnm.Print_Area" localSheetId="18">T6_FG_py_Utlsn!$A$1:$L$50</definedName>
    <definedName name="_xlnm.Print_Area" localSheetId="19">'T6A_FG_Upy_Utlsn '!$A$1:$L$51</definedName>
    <definedName name="_xlnm.Print_Area" localSheetId="20">T6B_Pay_FG_FCI_Pry!$A$1:$M$51</definedName>
    <definedName name="_xlnm.Print_Area" localSheetId="21">T6C_Coarse_Grain!$A$1:$L$52</definedName>
    <definedName name="_xlnm.Print_Area" localSheetId="22">T7_CC_PY_Utlsn!$A$1:$Q$53</definedName>
    <definedName name="_xlnm.Print_Area" localSheetId="23">'T7ACC_UPY_Utlsn '!$A$1:$Q$53</definedName>
  </definedNames>
  <calcPr calcId="124519"/>
</workbook>
</file>

<file path=xl/calcChain.xml><?xml version="1.0" encoding="utf-8"?>
<calcChain xmlns="http://schemas.openxmlformats.org/spreadsheetml/2006/main">
  <c r="J40" i="16"/>
  <c r="J37"/>
  <c r="J34"/>
  <c r="J30"/>
  <c r="J28"/>
  <c r="J23"/>
  <c r="J19"/>
  <c r="J16"/>
  <c r="J12"/>
  <c r="I40"/>
  <c r="I37"/>
  <c r="I34"/>
  <c r="I30"/>
  <c r="I28"/>
  <c r="I23"/>
  <c r="I19"/>
  <c r="I16"/>
  <c r="I12"/>
  <c r="J25" i="115"/>
  <c r="F41" i="15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G42" l="1"/>
  <c r="F42"/>
  <c r="E42"/>
  <c r="D42"/>
  <c r="C4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0"/>
  <c r="V47" i="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E45" i="74" l="1"/>
  <c r="D45"/>
  <c r="C45"/>
  <c r="O25" i="56"/>
  <c r="R44" i="62"/>
  <c r="Q44"/>
  <c r="P44"/>
  <c r="O44"/>
  <c r="N44"/>
  <c r="M44"/>
  <c r="L44"/>
  <c r="K44"/>
  <c r="J44"/>
  <c r="I44"/>
  <c r="H44"/>
  <c r="G44"/>
  <c r="E44"/>
  <c r="D44"/>
  <c r="C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6"/>
  <c r="F15"/>
  <c r="F14"/>
  <c r="F13"/>
  <c r="F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34" s="1"/>
  <c r="A27" s="1"/>
  <c r="A28" s="1"/>
  <c r="A29" s="1"/>
  <c r="A30" s="1"/>
  <c r="A31" s="1"/>
  <c r="A32" s="1"/>
  <c r="A33" s="1"/>
  <c r="A35" s="1"/>
  <c r="A36" s="1"/>
  <c r="A37" s="1"/>
  <c r="A38" s="1"/>
  <c r="A39" s="1"/>
  <c r="A40" s="1"/>
  <c r="A41" s="1"/>
  <c r="A42" s="1"/>
  <c r="A43" s="1"/>
  <c r="F11"/>
  <c r="F44" s="1"/>
  <c r="D38" i="84"/>
  <c r="D29"/>
  <c r="A29" i="26"/>
  <c r="A30" s="1"/>
  <c r="A31" s="1"/>
  <c r="A32" s="1"/>
  <c r="A33" s="1"/>
  <c r="A34" s="1"/>
  <c r="A28"/>
  <c r="A27"/>
  <c r="A15"/>
  <c r="A16" s="1"/>
  <c r="A17" s="1"/>
  <c r="A18" s="1"/>
  <c r="A19" s="1"/>
  <c r="A20" s="1"/>
  <c r="A21" s="1"/>
  <c r="A22" s="1"/>
  <c r="A23" s="1"/>
  <c r="A24" s="1"/>
  <c r="A25" s="1"/>
  <c r="A26" s="1"/>
  <c r="A14"/>
  <c r="K45"/>
  <c r="J45"/>
  <c r="I45"/>
  <c r="H45"/>
  <c r="G45"/>
  <c r="D45"/>
  <c r="C45"/>
  <c r="A35" l="1"/>
  <c r="A36" s="1"/>
  <c r="A37" s="1"/>
  <c r="A38" s="1"/>
  <c r="A39" s="1"/>
  <c r="A40" s="1"/>
  <c r="A41" s="1"/>
  <c r="A42" s="1"/>
  <c r="A43" s="1"/>
  <c r="A44" s="1"/>
  <c r="E45"/>
  <c r="F45"/>
  <c r="A16" i="16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5"/>
  <c r="A14"/>
  <c r="A13"/>
  <c r="J43"/>
  <c r="H43"/>
  <c r="G43"/>
  <c r="F43"/>
  <c r="E43"/>
  <c r="D43"/>
  <c r="C43"/>
  <c r="J24" i="115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Q16" i="98" l="1"/>
  <c r="C15"/>
  <c r="K13" i="153" l="1"/>
  <c r="H21" l="1"/>
  <c r="H20"/>
  <c r="H19"/>
  <c r="H18"/>
  <c r="H17"/>
  <c r="H16"/>
  <c r="H15"/>
  <c r="H14"/>
  <c r="H13"/>
  <c r="H22" s="1"/>
  <c r="J22"/>
  <c r="D45" i="117"/>
  <c r="C45"/>
  <c r="V25" i="98" l="1"/>
  <c r="S25"/>
  <c r="Q25"/>
  <c r="P25"/>
  <c r="N25"/>
  <c r="M25"/>
  <c r="K25"/>
  <c r="J25"/>
  <c r="I25"/>
  <c r="H25"/>
  <c r="G25"/>
  <c r="F25"/>
  <c r="E25"/>
  <c r="D25"/>
  <c r="C25"/>
  <c r="T43" i="29" l="1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D15" i="84"/>
  <c r="V46" i="88" l="1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K21" i="153"/>
  <c r="K20"/>
  <c r="K19"/>
  <c r="K18"/>
  <c r="K17"/>
  <c r="K16"/>
  <c r="K15"/>
  <c r="K22" l="1"/>
  <c r="F22"/>
  <c r="D22"/>
  <c r="I18" i="96"/>
  <c r="H18"/>
  <c r="G18"/>
  <c r="R27"/>
  <c r="R26"/>
  <c r="R24"/>
  <c r="N28"/>
  <c r="N27"/>
  <c r="N26"/>
  <c r="N25"/>
  <c r="N24"/>
  <c r="J28"/>
  <c r="J27"/>
  <c r="J26"/>
  <c r="J25"/>
  <c r="J24"/>
  <c r="J45" i="117" l="1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L18" i="98"/>
  <c r="C18"/>
  <c r="P16"/>
  <c r="O16"/>
  <c r="N16"/>
  <c r="M16"/>
  <c r="L16"/>
  <c r="I16"/>
  <c r="H16"/>
  <c r="G16"/>
  <c r="F16"/>
  <c r="E16"/>
  <c r="D16"/>
  <c r="C16"/>
  <c r="L15"/>
  <c r="F34" i="103" l="1"/>
  <c r="G43" i="144" l="1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O14" i="108"/>
  <c r="N14"/>
  <c r="M14"/>
  <c r="L14"/>
  <c r="K14"/>
  <c r="J14"/>
  <c r="I14"/>
  <c r="H14"/>
  <c r="G14"/>
  <c r="F14"/>
  <c r="E14"/>
  <c r="K14" i="105"/>
  <c r="J14"/>
  <c r="I14"/>
  <c r="H14"/>
  <c r="G14"/>
  <c r="F14"/>
  <c r="E14"/>
  <c r="D14"/>
  <c r="K13"/>
  <c r="K12"/>
  <c r="K11"/>
  <c r="K10"/>
  <c r="K9"/>
  <c r="J13"/>
  <c r="E37" i="119"/>
  <c r="E36"/>
  <c r="E27"/>
  <c r="E24"/>
  <c r="U44"/>
  <c r="U42"/>
  <c r="U40"/>
  <c r="U38"/>
  <c r="U36"/>
  <c r="U34"/>
  <c r="U32"/>
  <c r="U30"/>
  <c r="U20"/>
  <c r="U18"/>
  <c r="U16"/>
  <c r="U12"/>
  <c r="T44"/>
  <c r="U43"/>
  <c r="T43"/>
  <c r="T42"/>
  <c r="U41"/>
  <c r="T41"/>
  <c r="T40"/>
  <c r="U39"/>
  <c r="T39"/>
  <c r="T38"/>
  <c r="U37"/>
  <c r="T37"/>
  <c r="T36"/>
  <c r="U35"/>
  <c r="T35"/>
  <c r="T34"/>
  <c r="U33"/>
  <c r="T33"/>
  <c r="T32"/>
  <c r="U31"/>
  <c r="T31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T20"/>
  <c r="U19"/>
  <c r="T19"/>
  <c r="T18"/>
  <c r="U17"/>
  <c r="T17"/>
  <c r="T16"/>
  <c r="U15"/>
  <c r="T15"/>
  <c r="U14"/>
  <c r="T14"/>
  <c r="U13"/>
  <c r="T13"/>
  <c r="T12"/>
  <c r="T45" l="1"/>
  <c r="U45"/>
  <c r="K45" i="75" l="1"/>
  <c r="K34"/>
  <c r="K33"/>
  <c r="K32"/>
  <c r="K29"/>
  <c r="K28"/>
  <c r="K26"/>
  <c r="K25"/>
  <c r="K24"/>
  <c r="K21"/>
  <c r="K20"/>
  <c r="K18"/>
  <c r="K17"/>
  <c r="K16"/>
  <c r="H34"/>
  <c r="H32"/>
  <c r="H28"/>
  <c r="H26"/>
  <c r="H24"/>
  <c r="H20"/>
  <c r="H18"/>
  <c r="H16"/>
  <c r="E36"/>
  <c r="E34"/>
  <c r="E32"/>
  <c r="E30"/>
  <c r="E28"/>
  <c r="E26"/>
  <c r="E24"/>
  <c r="E22"/>
  <c r="E20"/>
  <c r="E18"/>
  <c r="E16"/>
  <c r="H45"/>
  <c r="E45"/>
  <c r="K35"/>
  <c r="K31"/>
  <c r="K27"/>
  <c r="K23"/>
  <c r="K19"/>
  <c r="H35"/>
  <c r="H33"/>
  <c r="H31"/>
  <c r="H29"/>
  <c r="H27"/>
  <c r="H25"/>
  <c r="H23"/>
  <c r="H21"/>
  <c r="H19"/>
  <c r="H17"/>
  <c r="K30"/>
  <c r="K22"/>
  <c r="H30"/>
  <c r="H22"/>
  <c r="E35"/>
  <c r="E33"/>
  <c r="E31"/>
  <c r="E29"/>
  <c r="E27"/>
  <c r="E25"/>
  <c r="E23"/>
  <c r="E21"/>
  <c r="E19"/>
  <c r="E17"/>
  <c r="K33" i="7"/>
  <c r="H33"/>
  <c r="H31"/>
  <c r="K34"/>
  <c r="K32"/>
  <c r="K31"/>
  <c r="K30"/>
  <c r="H34"/>
  <c r="H32"/>
  <c r="H30"/>
  <c r="E39"/>
  <c r="E38"/>
  <c r="E37"/>
  <c r="E36"/>
  <c r="E35"/>
  <c r="E34"/>
  <c r="E33"/>
  <c r="E32"/>
  <c r="E31"/>
  <c r="E30"/>
  <c r="L37" i="47" l="1"/>
  <c r="L38"/>
  <c r="L13"/>
  <c r="L43"/>
  <c r="L42"/>
  <c r="L41"/>
  <c r="L40"/>
  <c r="L39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2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N45" i="75" l="1"/>
  <c r="V28" i="96" l="1"/>
  <c r="U28"/>
  <c r="T28"/>
  <c r="S28"/>
  <c r="R28"/>
  <c r="Q28"/>
  <c r="P28"/>
  <c r="O28"/>
  <c r="M28"/>
  <c r="L28"/>
  <c r="K28"/>
  <c r="I28"/>
  <c r="H28"/>
  <c r="G28"/>
  <c r="F28"/>
  <c r="E28"/>
  <c r="D28"/>
  <c r="N42" i="124" l="1"/>
  <c r="M42"/>
  <c r="L42"/>
  <c r="K42"/>
  <c r="J42"/>
  <c r="I42"/>
  <c r="G42"/>
  <c r="F42"/>
  <c r="E42"/>
  <c r="D42"/>
  <c r="C42"/>
  <c r="H42" l="1"/>
  <c r="F31" i="103" l="1"/>
  <c r="F20" l="1"/>
  <c r="G12" i="14"/>
  <c r="G43" i="58" l="1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F9" i="135" l="1"/>
  <c r="E9"/>
  <c r="D9"/>
  <c r="G33" i="60" l="1"/>
  <c r="G25" i="1"/>
  <c r="M25" s="1"/>
  <c r="L25"/>
  <c r="O27" i="56" l="1"/>
  <c r="G27"/>
  <c r="G29"/>
  <c r="G26"/>
  <c r="G25"/>
  <c r="F12"/>
  <c r="D12"/>
  <c r="B12"/>
  <c r="F44"/>
  <c r="F43"/>
  <c r="C44"/>
  <c r="C43"/>
  <c r="J33" i="84"/>
  <c r="J32"/>
  <c r="J31"/>
  <c r="J30"/>
  <c r="J29"/>
  <c r="J28"/>
  <c r="J27"/>
  <c r="J26"/>
  <c r="J25"/>
  <c r="J24"/>
  <c r="J23"/>
  <c r="J22"/>
  <c r="J21"/>
  <c r="J20"/>
  <c r="P43" i="145"/>
  <c r="P42"/>
  <c r="P41"/>
  <c r="P40"/>
  <c r="P39"/>
  <c r="P38"/>
  <c r="P37"/>
  <c r="P36"/>
  <c r="P35"/>
  <c r="P34"/>
  <c r="P33"/>
  <c r="P32"/>
  <c r="P31"/>
  <c r="P30"/>
  <c r="P29"/>
  <c r="P28"/>
  <c r="P26"/>
  <c r="P25"/>
  <c r="P24"/>
  <c r="P23"/>
  <c r="P22"/>
  <c r="P21"/>
  <c r="P19"/>
  <c r="P18"/>
  <c r="P17"/>
  <c r="P16"/>
  <c r="P15"/>
  <c r="P14"/>
  <c r="P13"/>
  <c r="P11"/>
  <c r="F41" i="141" l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N44" i="75" l="1"/>
  <c r="N43"/>
  <c r="N42"/>
  <c r="N41"/>
  <c r="N40"/>
  <c r="N38"/>
  <c r="N37"/>
  <c r="N36"/>
  <c r="N34"/>
  <c r="P32"/>
  <c r="N31"/>
  <c r="N30"/>
  <c r="P29"/>
  <c r="O29"/>
  <c r="N28"/>
  <c r="N27"/>
  <c r="N26"/>
  <c r="N25"/>
  <c r="N24"/>
  <c r="N22"/>
  <c r="N21"/>
  <c r="N20"/>
  <c r="N18"/>
  <c r="N15"/>
  <c r="N14"/>
  <c r="F32" i="86"/>
  <c r="F29"/>
  <c r="H29" l="1"/>
  <c r="H32"/>
  <c r="N16" i="75"/>
  <c r="N23"/>
  <c r="N32"/>
  <c r="Q32" s="1"/>
  <c r="N39"/>
  <c r="O32"/>
  <c r="N29"/>
  <c r="Q29" s="1"/>
  <c r="N17"/>
  <c r="N19"/>
  <c r="N33"/>
  <c r="N35"/>
  <c r="G29" i="86"/>
  <c r="G32"/>
  <c r="I29" l="1"/>
  <c r="J29" s="1"/>
  <c r="I32"/>
  <c r="J32" s="1"/>
  <c r="I31" i="13"/>
  <c r="I28"/>
  <c r="A17" i="121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6"/>
  <c r="V40" i="114"/>
  <c r="V39"/>
  <c r="V38"/>
  <c r="V37"/>
  <c r="V36"/>
  <c r="V35"/>
  <c r="V34"/>
  <c r="V33"/>
  <c r="V32"/>
  <c r="V31"/>
  <c r="V30"/>
  <c r="V29"/>
  <c r="V28"/>
  <c r="V27"/>
  <c r="V26"/>
  <c r="V25"/>
  <c r="R36" i="88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44" i="114"/>
  <c r="R43"/>
  <c r="M42"/>
  <c r="R41"/>
  <c r="M40"/>
  <c r="M38"/>
  <c r="M36"/>
  <c r="R35"/>
  <c r="M34"/>
  <c r="R33"/>
  <c r="M32"/>
  <c r="M30"/>
  <c r="R28"/>
  <c r="R27"/>
  <c r="M26"/>
  <c r="R25"/>
  <c r="M24"/>
  <c r="M22"/>
  <c r="M20"/>
  <c r="R19"/>
  <c r="M18"/>
  <c r="R17"/>
  <c r="M16"/>
  <c r="G37"/>
  <c r="G36"/>
  <c r="G35"/>
  <c r="G34"/>
  <c r="G33"/>
  <c r="G32"/>
  <c r="G31"/>
  <c r="G30"/>
  <c r="G29"/>
  <c r="G28"/>
  <c r="G27"/>
  <c r="G26"/>
  <c r="G38" i="88"/>
  <c r="G37"/>
  <c r="G34"/>
  <c r="G33"/>
  <c r="G30"/>
  <c r="G29"/>
  <c r="G26"/>
  <c r="G25"/>
  <c r="G22"/>
  <c r="G21"/>
  <c r="G18"/>
  <c r="G17"/>
  <c r="G39"/>
  <c r="G36"/>
  <c r="G35"/>
  <c r="G32"/>
  <c r="G31"/>
  <c r="G28"/>
  <c r="G27"/>
  <c r="G24"/>
  <c r="G23"/>
  <c r="G20"/>
  <c r="G19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P46"/>
  <c r="P45"/>
  <c r="P44"/>
  <c r="P43"/>
  <c r="P42"/>
  <c r="P41"/>
  <c r="P40"/>
  <c r="P39"/>
  <c r="P38"/>
  <c r="P37"/>
  <c r="P36"/>
  <c r="S36" s="1"/>
  <c r="P35"/>
  <c r="S35" s="1"/>
  <c r="P34"/>
  <c r="P33"/>
  <c r="P32"/>
  <c r="P31"/>
  <c r="P30"/>
  <c r="P29"/>
  <c r="P28"/>
  <c r="S28" s="1"/>
  <c r="P27"/>
  <c r="S27" s="1"/>
  <c r="P26"/>
  <c r="P25"/>
  <c r="P24"/>
  <c r="P23"/>
  <c r="P22"/>
  <c r="P21"/>
  <c r="P20"/>
  <c r="S20" s="1"/>
  <c r="P19"/>
  <c r="S19" s="1"/>
  <c r="P18"/>
  <c r="P17"/>
  <c r="P16"/>
  <c r="P15"/>
  <c r="U45" i="114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Q45"/>
  <c r="P43"/>
  <c r="R42"/>
  <c r="Q42"/>
  <c r="Q41"/>
  <c r="P39"/>
  <c r="R38"/>
  <c r="Q38"/>
  <c r="Q37"/>
  <c r="P35"/>
  <c r="R34"/>
  <c r="Q34"/>
  <c r="Q33"/>
  <c r="P31"/>
  <c r="R30"/>
  <c r="Q30"/>
  <c r="Q29"/>
  <c r="P27"/>
  <c r="R26"/>
  <c r="Q26"/>
  <c r="Q25"/>
  <c r="P23"/>
  <c r="R22"/>
  <c r="Q22"/>
  <c r="Q21"/>
  <c r="P19"/>
  <c r="R18"/>
  <c r="Q18"/>
  <c r="Q17"/>
  <c r="P15"/>
  <c r="R14"/>
  <c r="Q14"/>
  <c r="R45"/>
  <c r="Q44"/>
  <c r="Q43"/>
  <c r="R40"/>
  <c r="Q40"/>
  <c r="R39"/>
  <c r="Q39"/>
  <c r="R37"/>
  <c r="Q36"/>
  <c r="Q35"/>
  <c r="R32"/>
  <c r="Q32"/>
  <c r="R31"/>
  <c r="Q31"/>
  <c r="R29"/>
  <c r="Q28"/>
  <c r="Q27"/>
  <c r="R24"/>
  <c r="Q24"/>
  <c r="R23"/>
  <c r="Q23"/>
  <c r="R21"/>
  <c r="Q20"/>
  <c r="Q19"/>
  <c r="R16"/>
  <c r="Q16"/>
  <c r="R15"/>
  <c r="Q15"/>
  <c r="P45"/>
  <c r="P44"/>
  <c r="P41"/>
  <c r="P40"/>
  <c r="P37"/>
  <c r="P36"/>
  <c r="P33"/>
  <c r="P32"/>
  <c r="P29"/>
  <c r="P28"/>
  <c r="P25"/>
  <c r="P24"/>
  <c r="P21"/>
  <c r="P20"/>
  <c r="P17"/>
  <c r="P16"/>
  <c r="M15"/>
  <c r="M17"/>
  <c r="M19"/>
  <c r="M21"/>
  <c r="M23"/>
  <c r="M25"/>
  <c r="M27"/>
  <c r="M29"/>
  <c r="M31"/>
  <c r="M33"/>
  <c r="M35"/>
  <c r="M37"/>
  <c r="M39"/>
  <c r="M41"/>
  <c r="M43"/>
  <c r="M45"/>
  <c r="J32"/>
  <c r="J31"/>
  <c r="J30"/>
  <c r="J29"/>
  <c r="S18" i="88" l="1"/>
  <c r="S22"/>
  <c r="S26"/>
  <c r="S30"/>
  <c r="S34"/>
  <c r="S38"/>
  <c r="S17"/>
  <c r="S21"/>
  <c r="S25"/>
  <c r="S29"/>
  <c r="S33"/>
  <c r="S37"/>
  <c r="S16"/>
  <c r="S24"/>
  <c r="S32"/>
  <c r="S40"/>
  <c r="S15"/>
  <c r="S23"/>
  <c r="S31"/>
  <c r="S39"/>
  <c r="S17" i="114"/>
  <c r="S33"/>
  <c r="S41"/>
  <c r="S21"/>
  <c r="S29"/>
  <c r="S37"/>
  <c r="S45"/>
  <c r="S16"/>
  <c r="S24"/>
  <c r="S32"/>
  <c r="S40"/>
  <c r="R20"/>
  <c r="R36"/>
  <c r="S15"/>
  <c r="S19"/>
  <c r="S23"/>
  <c r="S27"/>
  <c r="S31"/>
  <c r="S35"/>
  <c r="S39"/>
  <c r="S43"/>
  <c r="S25"/>
  <c r="M44"/>
  <c r="M28"/>
  <c r="S28" s="1"/>
  <c r="S20"/>
  <c r="S36"/>
  <c r="S44"/>
  <c r="P14"/>
  <c r="P18"/>
  <c r="S18" s="1"/>
  <c r="P22"/>
  <c r="S22" s="1"/>
  <c r="P26"/>
  <c r="S26" s="1"/>
  <c r="P30"/>
  <c r="S30" s="1"/>
  <c r="P34"/>
  <c r="S34" s="1"/>
  <c r="P38"/>
  <c r="S38" s="1"/>
  <c r="P42"/>
  <c r="S42" s="1"/>
  <c r="J33" i="88" l="1"/>
  <c r="J30"/>
  <c r="F44" i="127" l="1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G44"/>
  <c r="G43"/>
  <c r="H42"/>
  <c r="J42" s="1"/>
  <c r="G42"/>
  <c r="G41"/>
  <c r="G40"/>
  <c r="G39"/>
  <c r="G38"/>
  <c r="G37"/>
  <c r="G36"/>
  <c r="G35"/>
  <c r="G34"/>
  <c r="G33"/>
  <c r="G32"/>
  <c r="G31"/>
  <c r="G30"/>
  <c r="G29"/>
  <c r="G28"/>
  <c r="G27"/>
  <c r="G26"/>
  <c r="H25"/>
  <c r="J25" s="1"/>
  <c r="G25"/>
  <c r="G24"/>
  <c r="G23"/>
  <c r="H22"/>
  <c r="J22" s="1"/>
  <c r="G22"/>
  <c r="G21"/>
  <c r="G20"/>
  <c r="G19"/>
  <c r="G18"/>
  <c r="G17"/>
  <c r="G16"/>
  <c r="G15"/>
  <c r="G14"/>
  <c r="G13"/>
  <c r="F44" i="111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44" i="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O43" i="47"/>
  <c r="H44" i="127" s="1"/>
  <c r="J44" s="1"/>
  <c r="O42" i="47"/>
  <c r="H43" i="127" s="1"/>
  <c r="J43" s="1"/>
  <c r="O41" i="47"/>
  <c r="O40"/>
  <c r="H41" i="127" s="1"/>
  <c r="J41" s="1"/>
  <c r="O39" i="47"/>
  <c r="H40" i="127" s="1"/>
  <c r="J40" s="1"/>
  <c r="O38" i="47"/>
  <c r="H39" i="127" s="1"/>
  <c r="J39" s="1"/>
  <c r="O37" i="47"/>
  <c r="H38" i="127" s="1"/>
  <c r="J38" s="1"/>
  <c r="O36" i="47"/>
  <c r="H37" i="127" s="1"/>
  <c r="J37" s="1"/>
  <c r="O35" i="47"/>
  <c r="H36" i="127" s="1"/>
  <c r="J36" s="1"/>
  <c r="O34" i="47"/>
  <c r="H35" i="127" s="1"/>
  <c r="J35" s="1"/>
  <c r="O33" i="47"/>
  <c r="H34" i="127" s="1"/>
  <c r="J34" s="1"/>
  <c r="O32" i="47"/>
  <c r="H33" i="127" s="1"/>
  <c r="J33" s="1"/>
  <c r="O31" i="47"/>
  <c r="O30"/>
  <c r="O29"/>
  <c r="H30" i="127" s="1"/>
  <c r="J30" s="1"/>
  <c r="O28" i="47"/>
  <c r="H29" i="127" s="1"/>
  <c r="J29" s="1"/>
  <c r="O27" i="47"/>
  <c r="O26"/>
  <c r="H27" i="127" s="1"/>
  <c r="J27" s="1"/>
  <c r="O25" i="47"/>
  <c r="H26" i="127" s="1"/>
  <c r="J26" s="1"/>
  <c r="O24" i="47"/>
  <c r="O23"/>
  <c r="H24" i="127" s="1"/>
  <c r="J24" s="1"/>
  <c r="O22" i="47"/>
  <c r="H23" i="127" s="1"/>
  <c r="J23" s="1"/>
  <c r="O21" i="47"/>
  <c r="O20"/>
  <c r="H21" i="127" s="1"/>
  <c r="J21" s="1"/>
  <c r="O19" i="47"/>
  <c r="H20" i="127" s="1"/>
  <c r="J20" s="1"/>
  <c r="O18" i="47"/>
  <c r="H19" i="127" s="1"/>
  <c r="J19" s="1"/>
  <c r="O17" i="47"/>
  <c r="H18" i="127" s="1"/>
  <c r="J18" s="1"/>
  <c r="O16" i="47"/>
  <c r="H17" i="127" s="1"/>
  <c r="J17" s="1"/>
  <c r="O15" i="47"/>
  <c r="H16" i="127" s="1"/>
  <c r="J16" s="1"/>
  <c r="O14" i="47"/>
  <c r="H15" i="127" s="1"/>
  <c r="J15" s="1"/>
  <c r="O13" i="47"/>
  <c r="H14" i="127" s="1"/>
  <c r="J14" s="1"/>
  <c r="O12" i="47"/>
  <c r="H13" i="127" s="1"/>
  <c r="J13" s="1"/>
  <c r="O11" i="47"/>
  <c r="P43"/>
  <c r="N43"/>
  <c r="M43"/>
  <c r="P42"/>
  <c r="N42"/>
  <c r="M42"/>
  <c r="P41"/>
  <c r="N41"/>
  <c r="M41"/>
  <c r="P40"/>
  <c r="N40"/>
  <c r="M40"/>
  <c r="P39"/>
  <c r="N39"/>
  <c r="M39"/>
  <c r="P38"/>
  <c r="N38"/>
  <c r="M38"/>
  <c r="P37"/>
  <c r="N37"/>
  <c r="M37"/>
  <c r="P36"/>
  <c r="N36"/>
  <c r="M36"/>
  <c r="Q36" s="1"/>
  <c r="H37" i="111" s="1"/>
  <c r="J37" s="1"/>
  <c r="P35" i="47"/>
  <c r="N35"/>
  <c r="M35"/>
  <c r="P34"/>
  <c r="N34"/>
  <c r="M34"/>
  <c r="P33"/>
  <c r="N33"/>
  <c r="M33"/>
  <c r="P32"/>
  <c r="N32"/>
  <c r="M32"/>
  <c r="P31"/>
  <c r="N31"/>
  <c r="M31"/>
  <c r="P30"/>
  <c r="N30"/>
  <c r="M30"/>
  <c r="P29"/>
  <c r="N29"/>
  <c r="M29"/>
  <c r="P28"/>
  <c r="N28"/>
  <c r="M28"/>
  <c r="P27"/>
  <c r="N27"/>
  <c r="M27"/>
  <c r="P26"/>
  <c r="N26"/>
  <c r="M26"/>
  <c r="P25"/>
  <c r="N25"/>
  <c r="M25"/>
  <c r="P24"/>
  <c r="N24"/>
  <c r="M24"/>
  <c r="Q24" s="1"/>
  <c r="P23"/>
  <c r="N23"/>
  <c r="M23"/>
  <c r="P22"/>
  <c r="N22"/>
  <c r="M22"/>
  <c r="P21"/>
  <c r="N21"/>
  <c r="M21"/>
  <c r="P20"/>
  <c r="N20"/>
  <c r="M20"/>
  <c r="P19"/>
  <c r="N19"/>
  <c r="M19"/>
  <c r="P18"/>
  <c r="N18"/>
  <c r="M18"/>
  <c r="P17"/>
  <c r="N17"/>
  <c r="M17"/>
  <c r="P16"/>
  <c r="N16"/>
  <c r="M16"/>
  <c r="Q16" s="1"/>
  <c r="P15"/>
  <c r="N15"/>
  <c r="M15"/>
  <c r="P14"/>
  <c r="N14"/>
  <c r="M14"/>
  <c r="P13"/>
  <c r="N13"/>
  <c r="M13"/>
  <c r="P12"/>
  <c r="N12"/>
  <c r="M12"/>
  <c r="P11"/>
  <c r="N11"/>
  <c r="M11"/>
  <c r="P43" i="60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Q28" s="1"/>
  <c r="P27"/>
  <c r="O27"/>
  <c r="N27"/>
  <c r="M27"/>
  <c r="P26"/>
  <c r="O26"/>
  <c r="N26"/>
  <c r="M26"/>
  <c r="Q26" s="1"/>
  <c r="P25"/>
  <c r="O25"/>
  <c r="N25"/>
  <c r="M25"/>
  <c r="P24"/>
  <c r="O24"/>
  <c r="N24"/>
  <c r="M24"/>
  <c r="P23"/>
  <c r="O23"/>
  <c r="N23"/>
  <c r="M23"/>
  <c r="P22"/>
  <c r="O22"/>
  <c r="N22"/>
  <c r="M22"/>
  <c r="Q22" s="1"/>
  <c r="P21"/>
  <c r="O21"/>
  <c r="N21"/>
  <c r="M21"/>
  <c r="Q21" s="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Q16" s="1"/>
  <c r="P15"/>
  <c r="O15"/>
  <c r="N15"/>
  <c r="M15"/>
  <c r="Q15" s="1"/>
  <c r="P14"/>
  <c r="O14"/>
  <c r="N14"/>
  <c r="M14"/>
  <c r="Q14" s="1"/>
  <c r="P13"/>
  <c r="O13"/>
  <c r="N13"/>
  <c r="M13"/>
  <c r="Q13" s="1"/>
  <c r="P12"/>
  <c r="O12"/>
  <c r="N12"/>
  <c r="M12"/>
  <c r="P11"/>
  <c r="O11"/>
  <c r="N11"/>
  <c r="M11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G43"/>
  <c r="G42"/>
  <c r="G41"/>
  <c r="G40"/>
  <c r="G39"/>
  <c r="G38"/>
  <c r="G37"/>
  <c r="G36"/>
  <c r="G35"/>
  <c r="G34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N22" i="96"/>
  <c r="M22"/>
  <c r="L22"/>
  <c r="K22"/>
  <c r="I22"/>
  <c r="H22"/>
  <c r="G22"/>
  <c r="F22"/>
  <c r="E22"/>
  <c r="D22"/>
  <c r="C22"/>
  <c r="L44" i="1"/>
  <c r="G44" i="4" s="1"/>
  <c r="L43" i="1"/>
  <c r="G43" i="4" s="1"/>
  <c r="L42" i="1"/>
  <c r="G42" i="4" s="1"/>
  <c r="L41" i="1"/>
  <c r="G41" i="4" s="1"/>
  <c r="L40" i="1"/>
  <c r="G40" i="4" s="1"/>
  <c r="L39" i="1"/>
  <c r="G39" i="4" s="1"/>
  <c r="L38" i="1"/>
  <c r="G38" i="4" s="1"/>
  <c r="L37" i="1"/>
  <c r="G37" i="4" s="1"/>
  <c r="L36" i="1"/>
  <c r="G36" i="4" s="1"/>
  <c r="L35" i="1"/>
  <c r="G35" i="4" s="1"/>
  <c r="L34" i="1"/>
  <c r="G34" i="4" s="1"/>
  <c r="L33" i="1"/>
  <c r="G33" i="4" s="1"/>
  <c r="L32" i="1"/>
  <c r="G32" i="4" s="1"/>
  <c r="L31" i="1"/>
  <c r="G31" i="4" s="1"/>
  <c r="L30" i="1"/>
  <c r="G30" i="4" s="1"/>
  <c r="L29" i="1"/>
  <c r="G29" i="4" s="1"/>
  <c r="L28" i="1"/>
  <c r="G28" i="4" s="1"/>
  <c r="L27" i="1"/>
  <c r="G27" i="4" s="1"/>
  <c r="G44" i="1"/>
  <c r="G43"/>
  <c r="G42"/>
  <c r="G41"/>
  <c r="G40"/>
  <c r="G39"/>
  <c r="G38"/>
  <c r="G37"/>
  <c r="G36"/>
  <c r="G35"/>
  <c r="G34"/>
  <c r="G33"/>
  <c r="G32"/>
  <c r="G31"/>
  <c r="G30"/>
  <c r="G29"/>
  <c r="G28"/>
  <c r="G27"/>
  <c r="G34" i="59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L34"/>
  <c r="M34" s="1"/>
  <c r="L33"/>
  <c r="L32"/>
  <c r="L31"/>
  <c r="L30"/>
  <c r="M30" s="1"/>
  <c r="L29"/>
  <c r="L28"/>
  <c r="L27"/>
  <c r="L26"/>
  <c r="M26" s="1"/>
  <c r="L25"/>
  <c r="L24"/>
  <c r="L23"/>
  <c r="L22"/>
  <c r="M22" s="1"/>
  <c r="L21"/>
  <c r="L20"/>
  <c r="L19"/>
  <c r="L18"/>
  <c r="M18" s="1"/>
  <c r="L17"/>
  <c r="L16"/>
  <c r="L15"/>
  <c r="L14"/>
  <c r="M14" s="1"/>
  <c r="L12"/>
  <c r="M13" i="58"/>
  <c r="L33"/>
  <c r="M33" s="1"/>
  <c r="L32"/>
  <c r="M32" s="1"/>
  <c r="L31"/>
  <c r="M31" s="1"/>
  <c r="L30"/>
  <c r="G31" i="111" s="1"/>
  <c r="L29" i="58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2"/>
  <c r="M12" s="1"/>
  <c r="L26" i="1"/>
  <c r="G26" i="4" s="1"/>
  <c r="L24" i="1"/>
  <c r="L23"/>
  <c r="L22"/>
  <c r="M22" s="1"/>
  <c r="L21"/>
  <c r="L20"/>
  <c r="L19"/>
  <c r="L18"/>
  <c r="L17"/>
  <c r="L16"/>
  <c r="L15"/>
  <c r="G26"/>
  <c r="G24"/>
  <c r="M24" s="1"/>
  <c r="G23"/>
  <c r="G22"/>
  <c r="G21"/>
  <c r="M21" s="1"/>
  <c r="G20"/>
  <c r="G19"/>
  <c r="G18"/>
  <c r="G17"/>
  <c r="G16"/>
  <c r="G15"/>
  <c r="G14"/>
  <c r="G20" i="111" l="1"/>
  <c r="G24"/>
  <c r="M18" i="1"/>
  <c r="M15"/>
  <c r="M23"/>
  <c r="Q13" i="47"/>
  <c r="Q18"/>
  <c r="Q25"/>
  <c r="Q33"/>
  <c r="H34" i="111" s="1"/>
  <c r="J34" s="1"/>
  <c r="Q14" i="47"/>
  <c r="Q34"/>
  <c r="H35" i="111" s="1"/>
  <c r="J35" s="1"/>
  <c r="K29" i="86"/>
  <c r="G33" i="111"/>
  <c r="G29"/>
  <c r="G25"/>
  <c r="G21"/>
  <c r="G22"/>
  <c r="G30"/>
  <c r="G34"/>
  <c r="G32"/>
  <c r="M30" i="58"/>
  <c r="G28" i="111"/>
  <c r="G26"/>
  <c r="G18"/>
  <c r="G17"/>
  <c r="G16"/>
  <c r="M19" i="1"/>
  <c r="M26"/>
  <c r="M20"/>
  <c r="M16"/>
  <c r="M17"/>
  <c r="G19" i="111"/>
  <c r="G23"/>
  <c r="G27"/>
  <c r="M30" i="1"/>
  <c r="M34"/>
  <c r="M38"/>
  <c r="M42"/>
  <c r="M27"/>
  <c r="M31"/>
  <c r="M35"/>
  <c r="M39"/>
  <c r="M43"/>
  <c r="M28"/>
  <c r="M32"/>
  <c r="M36"/>
  <c r="M40"/>
  <c r="M44"/>
  <c r="M29"/>
  <c r="M33"/>
  <c r="M37"/>
  <c r="M41"/>
  <c r="Q17" i="47"/>
  <c r="H18" i="111" s="1"/>
  <c r="J18" s="1"/>
  <c r="Q26" i="47"/>
  <c r="Q41"/>
  <c r="H42" i="111" s="1"/>
  <c r="J42" s="1"/>
  <c r="Q39" i="47"/>
  <c r="H40" i="111" s="1"/>
  <c r="J40" s="1"/>
  <c r="Q38" i="47"/>
  <c r="H39" i="111" s="1"/>
  <c r="J39" s="1"/>
  <c r="Q31" i="47"/>
  <c r="Q30"/>
  <c r="G31" i="74" s="1"/>
  <c r="Q27" i="47"/>
  <c r="G28" i="74" s="1"/>
  <c r="Q21" i="47"/>
  <c r="Q32"/>
  <c r="Q28"/>
  <c r="H32" i="127"/>
  <c r="J32" s="1"/>
  <c r="H31"/>
  <c r="J31" s="1"/>
  <c r="H28"/>
  <c r="J28" s="1"/>
  <c r="Q22" i="47"/>
  <c r="Q20"/>
  <c r="Q42"/>
  <c r="H43" i="111" s="1"/>
  <c r="J43" s="1"/>
  <c r="Q40" i="47"/>
  <c r="H41" i="111" s="1"/>
  <c r="J41" s="1"/>
  <c r="Q37" i="47"/>
  <c r="H38" i="111" s="1"/>
  <c r="J38" s="1"/>
  <c r="Q29" i="47"/>
  <c r="H30" i="111" s="1"/>
  <c r="J30" s="1"/>
  <c r="Q12" i="47"/>
  <c r="Q43"/>
  <c r="H44" i="111" s="1"/>
  <c r="J44" s="1"/>
  <c r="Q35" i="47"/>
  <c r="H36" i="111" s="1"/>
  <c r="J36" s="1"/>
  <c r="H27"/>
  <c r="J27" s="1"/>
  <c r="H25"/>
  <c r="J25" s="1"/>
  <c r="Q23" i="47"/>
  <c r="Q19"/>
  <c r="H19" i="111"/>
  <c r="J19" s="1"/>
  <c r="H17"/>
  <c r="J17" s="1"/>
  <c r="Q15" i="47"/>
  <c r="Q25" i="60"/>
  <c r="Q19"/>
  <c r="Q17"/>
  <c r="Q36"/>
  <c r="H37" i="4" s="1"/>
  <c r="J37" s="1"/>
  <c r="Q24" i="60"/>
  <c r="Q20"/>
  <c r="Q43"/>
  <c r="H44" i="4" s="1"/>
  <c r="J44" s="1"/>
  <c r="Q42" i="60"/>
  <c r="H43" i="4" s="1"/>
  <c r="J43" s="1"/>
  <c r="Q41" i="60"/>
  <c r="H42" i="4" s="1"/>
  <c r="J42" s="1"/>
  <c r="Q40" i="60"/>
  <c r="H41" i="4" s="1"/>
  <c r="J41" s="1"/>
  <c r="Q39" i="60"/>
  <c r="H40" i="4" s="1"/>
  <c r="J40" s="1"/>
  <c r="Q38" i="60"/>
  <c r="H39" i="4" s="1"/>
  <c r="J39" s="1"/>
  <c r="Q37" i="60"/>
  <c r="H38" i="4" s="1"/>
  <c r="J38" s="1"/>
  <c r="Q35" i="60"/>
  <c r="H36" i="4" s="1"/>
  <c r="J36" s="1"/>
  <c r="Q34" i="60"/>
  <c r="Q33"/>
  <c r="Q32"/>
  <c r="H33" i="4" s="1"/>
  <c r="J33" s="1"/>
  <c r="Q31" i="60"/>
  <c r="Q30"/>
  <c r="G31" i="5" s="1"/>
  <c r="P33" i="7"/>
  <c r="Q29" i="60"/>
  <c r="H30" i="4"/>
  <c r="J30" s="1"/>
  <c r="H29"/>
  <c r="J29" s="1"/>
  <c r="Q27" i="60"/>
  <c r="P30" i="7"/>
  <c r="H27" i="4"/>
  <c r="J27" s="1"/>
  <c r="Q23" i="60"/>
  <c r="Q18"/>
  <c r="Q12"/>
  <c r="M15" i="59"/>
  <c r="M19"/>
  <c r="M23"/>
  <c r="M27"/>
  <c r="M31"/>
  <c r="M12"/>
  <c r="M16"/>
  <c r="M20"/>
  <c r="M24"/>
  <c r="M28"/>
  <c r="M32"/>
  <c r="M13"/>
  <c r="M17"/>
  <c r="M21"/>
  <c r="M25"/>
  <c r="M29"/>
  <c r="M33"/>
  <c r="H33" i="111" l="1"/>
  <c r="J33" s="1"/>
  <c r="K32" i="86"/>
  <c r="H26" i="111"/>
  <c r="J26" s="1"/>
  <c r="H34" i="4"/>
  <c r="J34" s="1"/>
  <c r="H31"/>
  <c r="J31" s="1"/>
  <c r="H32" i="111"/>
  <c r="J32" s="1"/>
  <c r="H31"/>
  <c r="J31" s="1"/>
  <c r="H29"/>
  <c r="J29" s="1"/>
  <c r="H28"/>
  <c r="J28" s="1"/>
  <c r="H22"/>
  <c r="J22" s="1"/>
  <c r="H23"/>
  <c r="J23" s="1"/>
  <c r="H21"/>
  <c r="J21" s="1"/>
  <c r="H24"/>
  <c r="J24" s="1"/>
  <c r="H20"/>
  <c r="J20" s="1"/>
  <c r="H16"/>
  <c r="J16" s="1"/>
  <c r="H26" i="4"/>
  <c r="J26" s="1"/>
  <c r="H32"/>
  <c r="J32" s="1"/>
  <c r="H35"/>
  <c r="J35" s="1"/>
  <c r="N36" i="7"/>
  <c r="N35"/>
  <c r="N34"/>
  <c r="O33"/>
  <c r="N33"/>
  <c r="Q33" s="1"/>
  <c r="N32"/>
  <c r="N31"/>
  <c r="G28" i="5"/>
  <c r="H28" i="4"/>
  <c r="J28" s="1"/>
  <c r="N30" i="7"/>
  <c r="Q30" s="1"/>
  <c r="O30"/>
  <c r="G28" i="100"/>
  <c r="G25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E9"/>
  <c r="G22" i="153"/>
  <c r="L22"/>
  <c r="I22"/>
  <c r="E22"/>
  <c r="C22"/>
  <c r="F21" i="100" l="1"/>
  <c r="F12"/>
  <c r="F16"/>
  <c r="F20"/>
  <c r="F24"/>
  <c r="F28"/>
  <c r="H28" s="1"/>
  <c r="F32"/>
  <c r="F17"/>
  <c r="F31"/>
  <c r="F13"/>
  <c r="F25"/>
  <c r="H25" s="1"/>
  <c r="F29"/>
  <c r="F14"/>
  <c r="F18"/>
  <c r="F22"/>
  <c r="F26"/>
  <c r="F30"/>
  <c r="F11"/>
  <c r="F15"/>
  <c r="F19"/>
  <c r="F23"/>
  <c r="F27"/>
  <c r="U27" i="96"/>
  <c r="T27"/>
  <c r="S27"/>
  <c r="V27" s="1"/>
  <c r="U26"/>
  <c r="T26"/>
  <c r="S26"/>
  <c r="V26" s="1"/>
  <c r="M17"/>
  <c r="L17"/>
  <c r="K17"/>
  <c r="I17"/>
  <c r="H17"/>
  <c r="G17"/>
  <c r="I19"/>
  <c r="H19"/>
  <c r="G19"/>
  <c r="I16"/>
  <c r="H16"/>
  <c r="G16"/>
  <c r="Q25"/>
  <c r="P25"/>
  <c r="O25"/>
  <c r="R25" s="1"/>
  <c r="K25"/>
  <c r="G25"/>
  <c r="I20"/>
  <c r="C11" i="29" l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F43" l="1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G23" l="1"/>
  <c r="I31" i="65" l="1"/>
  <c r="I42"/>
  <c r="I41"/>
  <c r="I38"/>
  <c r="I36"/>
  <c r="I32"/>
  <c r="I20"/>
  <c r="I26"/>
  <c r="I12"/>
  <c r="H23"/>
  <c r="H16"/>
  <c r="I23"/>
  <c r="I16"/>
  <c r="E20"/>
  <c r="A20"/>
  <c r="E14"/>
  <c r="E12"/>
  <c r="E11"/>
  <c r="E25"/>
  <c r="D30" l="1"/>
  <c r="E30"/>
  <c r="Q18" i="99" l="1"/>
  <c r="P18"/>
  <c r="O18"/>
  <c r="Q17"/>
  <c r="P17"/>
  <c r="O17"/>
  <c r="Q16"/>
  <c r="P16"/>
  <c r="O16"/>
  <c r="M18"/>
  <c r="L18"/>
  <c r="K18"/>
  <c r="M17"/>
  <c r="L17"/>
  <c r="K17"/>
  <c r="M16"/>
  <c r="L16"/>
  <c r="K16"/>
  <c r="I18"/>
  <c r="H18"/>
  <c r="G18"/>
  <c r="I17"/>
  <c r="H17"/>
  <c r="G17"/>
  <c r="I16"/>
  <c r="H16"/>
  <c r="G16"/>
  <c r="E18" l="1"/>
  <c r="D18"/>
  <c r="C18"/>
  <c r="E17"/>
  <c r="D17"/>
  <c r="C17"/>
  <c r="E16"/>
  <c r="D16"/>
  <c r="C16"/>
  <c r="E15"/>
  <c r="D15"/>
  <c r="C15"/>
  <c r="F27" i="96"/>
  <c r="F26"/>
  <c r="C28"/>
  <c r="E20"/>
  <c r="D20"/>
  <c r="C20"/>
  <c r="E19"/>
  <c r="D19"/>
  <c r="C19"/>
  <c r="E18"/>
  <c r="D18"/>
  <c r="C18"/>
  <c r="E17"/>
  <c r="D17"/>
  <c r="C17"/>
  <c r="E16"/>
  <c r="D16"/>
  <c r="C16"/>
  <c r="P8" i="27"/>
  <c r="A12" i="10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6" i="139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3" i="10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11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2" i="8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3" i="6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9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0" i="13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0" i="13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0" i="12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1" i="103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3" i="11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0" i="15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4" i="138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3" i="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4" i="1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5" i="88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14" i="75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5" i="7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13" i="12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4" i="86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3" i="7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5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11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1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12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11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 i="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0" i="14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4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60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5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58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Q21" i="96"/>
  <c r="P21"/>
  <c r="O21"/>
  <c r="N21"/>
  <c r="F43" i="145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W20" i="98"/>
  <c r="V20"/>
  <c r="U20"/>
  <c r="R21"/>
  <c r="J12" i="115"/>
  <c r="I12"/>
  <c r="R21" i="96" l="1"/>
  <c r="A13" i="152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O22" i="98" l="1"/>
  <c r="O25" s="1"/>
  <c r="L22"/>
  <c r="L25" s="1"/>
  <c r="P45" i="101" l="1"/>
  <c r="O45"/>
  <c r="N45"/>
  <c r="M45"/>
  <c r="L45"/>
  <c r="K45"/>
  <c r="J45"/>
  <c r="I45"/>
  <c r="H45"/>
  <c r="G45"/>
  <c r="F45"/>
  <c r="E45"/>
  <c r="D45"/>
  <c r="C45"/>
  <c r="J43" i="84" l="1"/>
  <c r="J42"/>
  <c r="J41"/>
  <c r="J40"/>
  <c r="J39"/>
  <c r="J38"/>
  <c r="J37"/>
  <c r="J36"/>
  <c r="J35"/>
  <c r="J34"/>
  <c r="J19"/>
  <c r="J18"/>
  <c r="J17"/>
  <c r="J16"/>
  <c r="J15"/>
  <c r="J14"/>
  <c r="J13"/>
  <c r="J12"/>
  <c r="J11"/>
  <c r="G12" i="127" l="1"/>
  <c r="G16" i="29"/>
  <c r="P38" i="75" l="1"/>
  <c r="O38"/>
  <c r="P37"/>
  <c r="O37"/>
  <c r="P36"/>
  <c r="O36"/>
  <c r="P35"/>
  <c r="O35"/>
  <c r="P34"/>
  <c r="O34"/>
  <c r="P33"/>
  <c r="O33"/>
  <c r="P31"/>
  <c r="O31"/>
  <c r="P30"/>
  <c r="O30"/>
  <c r="G29" i="74"/>
  <c r="G24"/>
  <c r="G20"/>
  <c r="G16"/>
  <c r="G17" l="1"/>
  <c r="G21"/>
  <c r="G25"/>
  <c r="G30"/>
  <c r="G14"/>
  <c r="G18"/>
  <c r="G22"/>
  <c r="G26"/>
  <c r="G32"/>
  <c r="G15"/>
  <c r="G19"/>
  <c r="G23"/>
  <c r="G27"/>
  <c r="G33"/>
  <c r="T22" i="98"/>
  <c r="S22"/>
  <c r="R22"/>
  <c r="R25" s="1"/>
  <c r="K22"/>
  <c r="J22"/>
  <c r="I22"/>
  <c r="A13" i="7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2" i="15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14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O44" i="145"/>
  <c r="S44" i="29"/>
  <c r="I23" i="28"/>
  <c r="F23"/>
  <c r="E23"/>
  <c r="D23"/>
  <c r="G22"/>
  <c r="H22" s="1"/>
  <c r="J22" s="1"/>
  <c r="H21"/>
  <c r="J21" s="1"/>
  <c r="G21"/>
  <c r="G20"/>
  <c r="H20" s="1"/>
  <c r="J20" s="1"/>
  <c r="G19"/>
  <c r="H19" s="1"/>
  <c r="J19" s="1"/>
  <c r="G18"/>
  <c r="H18" s="1"/>
  <c r="J18" s="1"/>
  <c r="J17"/>
  <c r="G17"/>
  <c r="G16"/>
  <c r="H16" s="1"/>
  <c r="J16" s="1"/>
  <c r="G15"/>
  <c r="H15" s="1"/>
  <c r="J15" s="1"/>
  <c r="G14"/>
  <c r="H14" s="1"/>
  <c r="J14" s="1"/>
  <c r="G13"/>
  <c r="H13" s="1"/>
  <c r="J13" s="1"/>
  <c r="G12"/>
  <c r="H12" s="1"/>
  <c r="J12" s="1"/>
  <c r="G11"/>
  <c r="H11" s="1"/>
  <c r="K23" i="27"/>
  <c r="I23"/>
  <c r="F23"/>
  <c r="E23"/>
  <c r="D23"/>
  <c r="C23"/>
  <c r="G22"/>
  <c r="H22" s="1"/>
  <c r="J22" s="1"/>
  <c r="G21"/>
  <c r="H21" s="1"/>
  <c r="J21" s="1"/>
  <c r="G20"/>
  <c r="H20" s="1"/>
  <c r="J20" s="1"/>
  <c r="G19"/>
  <c r="H19" s="1"/>
  <c r="J19" s="1"/>
  <c r="G18"/>
  <c r="H18" s="1"/>
  <c r="J18" s="1"/>
  <c r="J17"/>
  <c r="G17"/>
  <c r="G16"/>
  <c r="H16" s="1"/>
  <c r="J16" s="1"/>
  <c r="G15"/>
  <c r="H15" s="1"/>
  <c r="J15" s="1"/>
  <c r="G14"/>
  <c r="H14" s="1"/>
  <c r="J14" s="1"/>
  <c r="G13"/>
  <c r="H13" s="1"/>
  <c r="J13" s="1"/>
  <c r="G12"/>
  <c r="H12" s="1"/>
  <c r="J12" s="1"/>
  <c r="G11"/>
  <c r="H11" s="1"/>
  <c r="V22" i="98" l="1"/>
  <c r="W22"/>
  <c r="U22"/>
  <c r="U25" s="1"/>
  <c r="J23" i="28"/>
  <c r="H23"/>
  <c r="G23"/>
  <c r="H23" i="27"/>
  <c r="J23"/>
  <c r="G23"/>
  <c r="E42" i="150"/>
  <c r="D42"/>
  <c r="C42"/>
  <c r="P46" i="7" l="1"/>
  <c r="P45"/>
  <c r="O45"/>
  <c r="O43"/>
  <c r="P42"/>
  <c r="P41"/>
  <c r="O41"/>
  <c r="O39"/>
  <c r="P38"/>
  <c r="P37"/>
  <c r="O37"/>
  <c r="O35"/>
  <c r="P34"/>
  <c r="P32"/>
  <c r="O32"/>
  <c r="O29"/>
  <c r="P28"/>
  <c r="P27"/>
  <c r="O27"/>
  <c r="O25"/>
  <c r="P24"/>
  <c r="P23"/>
  <c r="O23"/>
  <c r="O21"/>
  <c r="P20"/>
  <c r="P19"/>
  <c r="O19"/>
  <c r="O17"/>
  <c r="P16"/>
  <c r="P15"/>
  <c r="O15"/>
  <c r="F37" i="86"/>
  <c r="H37" s="1"/>
  <c r="F36"/>
  <c r="H36" s="1"/>
  <c r="G35" i="5"/>
  <c r="F35" i="86"/>
  <c r="H35" s="1"/>
  <c r="F34"/>
  <c r="H34" s="1"/>
  <c r="G33" i="5"/>
  <c r="F33" i="86"/>
  <c r="H33" s="1"/>
  <c r="F31"/>
  <c r="H31" s="1"/>
  <c r="G30" i="5"/>
  <c r="F30" i="86"/>
  <c r="H30" s="1"/>
  <c r="F28"/>
  <c r="H28" s="1"/>
  <c r="G27" i="5"/>
  <c r="F27" i="86"/>
  <c r="H27" s="1"/>
  <c r="F26"/>
  <c r="H26" s="1"/>
  <c r="G25" i="5"/>
  <c r="F25" i="86"/>
  <c r="H25" s="1"/>
  <c r="G23" i="5"/>
  <c r="G21"/>
  <c r="G19"/>
  <c r="G17"/>
  <c r="P18" i="7" l="1"/>
  <c r="P22"/>
  <c r="P26"/>
  <c r="P31"/>
  <c r="P36"/>
  <c r="P40"/>
  <c r="P44"/>
  <c r="P17"/>
  <c r="P29"/>
  <c r="P21"/>
  <c r="P25"/>
  <c r="P35"/>
  <c r="P39"/>
  <c r="P43"/>
  <c r="O16"/>
  <c r="O18"/>
  <c r="O20"/>
  <c r="O22"/>
  <c r="O24"/>
  <c r="O26"/>
  <c r="O28"/>
  <c r="O31"/>
  <c r="O34"/>
  <c r="O36"/>
  <c r="O38"/>
  <c r="O40"/>
  <c r="O42"/>
  <c r="O44"/>
  <c r="O46"/>
  <c r="I25" i="86"/>
  <c r="G25"/>
  <c r="I24" i="13"/>
  <c r="I30" i="86"/>
  <c r="G30"/>
  <c r="I29" i="13"/>
  <c r="I35" i="86"/>
  <c r="G35"/>
  <c r="I34" i="13"/>
  <c r="G18" i="5"/>
  <c r="G22"/>
  <c r="G26"/>
  <c r="I28" i="86"/>
  <c r="G28"/>
  <c r="I27" i="13"/>
  <c r="G32" i="5"/>
  <c r="I34" i="86"/>
  <c r="G34"/>
  <c r="I33" i="13"/>
  <c r="I27" i="86"/>
  <c r="G27"/>
  <c r="I26" i="13"/>
  <c r="I33" i="86"/>
  <c r="G33"/>
  <c r="I32" i="13"/>
  <c r="I37" i="86"/>
  <c r="G37"/>
  <c r="I36" i="13"/>
  <c r="G16" i="5"/>
  <c r="G20"/>
  <c r="G24"/>
  <c r="I26" i="86"/>
  <c r="G26"/>
  <c r="I25" i="13"/>
  <c r="G29" i="5"/>
  <c r="I31" i="86"/>
  <c r="G31"/>
  <c r="I30" i="13"/>
  <c r="G34" i="5"/>
  <c r="I36" i="86"/>
  <c r="G36"/>
  <c r="I35" i="13"/>
  <c r="J37" i="86" l="1"/>
  <c r="J34"/>
  <c r="J33"/>
  <c r="J35"/>
  <c r="J28"/>
  <c r="J25"/>
  <c r="J36"/>
  <c r="J31"/>
  <c r="J26"/>
  <c r="J27"/>
  <c r="J30"/>
  <c r="V45" i="114"/>
  <c r="V44"/>
  <c r="V43"/>
  <c r="V42"/>
  <c r="V41"/>
  <c r="V24"/>
  <c r="V23"/>
  <c r="V22"/>
  <c r="V21"/>
  <c r="V20"/>
  <c r="V19"/>
  <c r="V18"/>
  <c r="V17"/>
  <c r="V16"/>
  <c r="V15"/>
  <c r="V14"/>
  <c r="V13"/>
  <c r="U13"/>
  <c r="J42"/>
  <c r="J38"/>
  <c r="J34"/>
  <c r="J28"/>
  <c r="J24"/>
  <c r="J20"/>
  <c r="J16"/>
  <c r="U46" i="88"/>
  <c r="U45"/>
  <c r="U44"/>
  <c r="U43"/>
  <c r="U42"/>
  <c r="U41"/>
  <c r="U40"/>
  <c r="U39"/>
  <c r="U38"/>
  <c r="U14"/>
  <c r="J44"/>
  <c r="J36"/>
  <c r="J26"/>
  <c r="J18"/>
  <c r="J45"/>
  <c r="J43"/>
  <c r="J41"/>
  <c r="J39"/>
  <c r="J37"/>
  <c r="J35"/>
  <c r="J32"/>
  <c r="J29"/>
  <c r="J27"/>
  <c r="J25"/>
  <c r="J23"/>
  <c r="J21"/>
  <c r="J19"/>
  <c r="J17"/>
  <c r="J15"/>
  <c r="J18" i="114" l="1"/>
  <c r="J40"/>
  <c r="J14"/>
  <c r="J22"/>
  <c r="J26"/>
  <c r="J36"/>
  <c r="J44"/>
  <c r="J31" i="88"/>
  <c r="J14"/>
  <c r="J40"/>
  <c r="J22"/>
  <c r="J16"/>
  <c r="J20"/>
  <c r="J24"/>
  <c r="J28"/>
  <c r="J34"/>
  <c r="J38"/>
  <c r="J42"/>
  <c r="J46"/>
  <c r="J13" i="114"/>
  <c r="J17"/>
  <c r="J21"/>
  <c r="J25"/>
  <c r="J35"/>
  <c r="J39"/>
  <c r="J43"/>
  <c r="J15"/>
  <c r="J19"/>
  <c r="J23"/>
  <c r="J27"/>
  <c r="J33"/>
  <c r="J37"/>
  <c r="J41"/>
  <c r="J45"/>
  <c r="G47" i="7" l="1"/>
  <c r="E30" i="145" l="1"/>
  <c r="E27"/>
  <c r="P27" s="1"/>
  <c r="E29"/>
  <c r="E28"/>
  <c r="J23" i="144" l="1"/>
  <c r="J16"/>
  <c r="J23" i="29"/>
  <c r="J16"/>
  <c r="J33" i="144"/>
  <c r="J32"/>
  <c r="J31"/>
  <c r="J30"/>
  <c r="I30" s="1"/>
  <c r="T30" s="1"/>
  <c r="J29"/>
  <c r="I29" s="1"/>
  <c r="T29" s="1"/>
  <c r="J28"/>
  <c r="I28" s="1"/>
  <c r="T28" s="1"/>
  <c r="J27"/>
  <c r="I27" s="1"/>
  <c r="T27" s="1"/>
  <c r="G33" i="29"/>
  <c r="J33" s="1"/>
  <c r="G32"/>
  <c r="J32" s="1"/>
  <c r="G31"/>
  <c r="J31" s="1"/>
  <c r="G30"/>
  <c r="J30" s="1"/>
  <c r="I30" s="1"/>
  <c r="G29"/>
  <c r="J29" s="1"/>
  <c r="G28"/>
  <c r="J28" s="1"/>
  <c r="G27"/>
  <c r="J27" s="1"/>
  <c r="I27" s="1"/>
  <c r="F39" i="86" l="1"/>
  <c r="H39" s="1"/>
  <c r="F44"/>
  <c r="H44" s="1"/>
  <c r="F45"/>
  <c r="H45" s="1"/>
  <c r="F43"/>
  <c r="H43" s="1"/>
  <c r="F41"/>
  <c r="H41" s="1"/>
  <c r="F40"/>
  <c r="H40" s="1"/>
  <c r="F38"/>
  <c r="F23"/>
  <c r="F22"/>
  <c r="F21"/>
  <c r="F19"/>
  <c r="F18"/>
  <c r="F17"/>
  <c r="F15"/>
  <c r="H15" s="1"/>
  <c r="F14"/>
  <c r="F13"/>
  <c r="H38" l="1"/>
  <c r="I37" i="13" s="1"/>
  <c r="H18" i="86"/>
  <c r="I17" i="13" s="1"/>
  <c r="H23" i="86"/>
  <c r="I22" i="13" s="1"/>
  <c r="H19" i="86"/>
  <c r="I18" i="13" s="1"/>
  <c r="H21" i="86"/>
  <c r="I20" i="13" s="1"/>
  <c r="H17" i="86"/>
  <c r="I16" i="13" s="1"/>
  <c r="H22" i="86"/>
  <c r="I21" i="13" s="1"/>
  <c r="I14"/>
  <c r="I44" i="86"/>
  <c r="H14"/>
  <c r="I41"/>
  <c r="G41"/>
  <c r="I19"/>
  <c r="G38"/>
  <c r="I40"/>
  <c r="I45"/>
  <c r="I43"/>
  <c r="I39"/>
  <c r="H13"/>
  <c r="F16"/>
  <c r="H16" s="1"/>
  <c r="F20"/>
  <c r="H20" s="1"/>
  <c r="F24"/>
  <c r="H24" s="1"/>
  <c r="F42"/>
  <c r="H42" s="1"/>
  <c r="G45"/>
  <c r="G23"/>
  <c r="G15"/>
  <c r="I15" s="1"/>
  <c r="G19"/>
  <c r="G14"/>
  <c r="G18"/>
  <c r="G44"/>
  <c r="G13"/>
  <c r="G17"/>
  <c r="G21"/>
  <c r="G39"/>
  <c r="G43"/>
  <c r="G22"/>
  <c r="G40"/>
  <c r="I18" l="1"/>
  <c r="I17"/>
  <c r="I21"/>
  <c r="I14"/>
  <c r="I13" i="13"/>
  <c r="I23" i="86"/>
  <c r="I13"/>
  <c r="I38"/>
  <c r="I22"/>
  <c r="G24"/>
  <c r="I23" i="13"/>
  <c r="G20" i="86"/>
  <c r="I19" i="13"/>
  <c r="G16" i="86"/>
  <c r="I15" i="13"/>
  <c r="G42" i="86"/>
  <c r="I42"/>
  <c r="I16"/>
  <c r="I20"/>
  <c r="I24"/>
  <c r="H12" i="127" l="1"/>
  <c r="A13" i="14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G44" i="56"/>
  <c r="D44"/>
  <c r="G16" i="4" l="1"/>
  <c r="L20" i="96" l="1"/>
  <c r="K20"/>
  <c r="H20"/>
  <c r="G20"/>
  <c r="F18"/>
  <c r="N19"/>
  <c r="N18"/>
  <c r="N16"/>
  <c r="F16"/>
  <c r="J16"/>
  <c r="J18" l="1"/>
  <c r="J22" s="1"/>
  <c r="J19"/>
  <c r="N20"/>
  <c r="J20"/>
  <c r="F20"/>
  <c r="F19"/>
  <c r="N17"/>
  <c r="F17"/>
  <c r="J17"/>
  <c r="Q17" i="98" l="1"/>
  <c r="P17"/>
  <c r="O17"/>
  <c r="N17"/>
  <c r="M17"/>
  <c r="L17"/>
  <c r="L19" s="1"/>
  <c r="H17" l="1"/>
  <c r="G17"/>
  <c r="F17"/>
  <c r="E17"/>
  <c r="D17"/>
  <c r="C17"/>
  <c r="K15" i="75"/>
  <c r="H15"/>
  <c r="C19" i="98" l="1"/>
  <c r="C39" i="109"/>
  <c r="G16" i="14"/>
  <c r="G25"/>
  <c r="G45" i="114" l="1"/>
  <c r="G44"/>
  <c r="G43"/>
  <c r="G42"/>
  <c r="G41"/>
  <c r="G40"/>
  <c r="G39"/>
  <c r="G38"/>
  <c r="G25"/>
  <c r="G24"/>
  <c r="G23"/>
  <c r="G22"/>
  <c r="G21"/>
  <c r="G20"/>
  <c r="G19"/>
  <c r="G18"/>
  <c r="G17"/>
  <c r="G16"/>
  <c r="G15"/>
  <c r="G14"/>
  <c r="G13"/>
  <c r="G46" i="88"/>
  <c r="G45"/>
  <c r="G44"/>
  <c r="G43"/>
  <c r="G42"/>
  <c r="G41"/>
  <c r="G40"/>
  <c r="G16"/>
  <c r="G15"/>
  <c r="G14"/>
  <c r="E44" i="75"/>
  <c r="E43"/>
  <c r="E42"/>
  <c r="E41"/>
  <c r="E40"/>
  <c r="E39"/>
  <c r="E38"/>
  <c r="E37"/>
  <c r="E15"/>
  <c r="E14"/>
  <c r="E13"/>
  <c r="E46" i="7"/>
  <c r="E45"/>
  <c r="E44"/>
  <c r="E43"/>
  <c r="E42"/>
  <c r="E41"/>
  <c r="E40"/>
  <c r="E29"/>
  <c r="E28"/>
  <c r="E27"/>
  <c r="E26"/>
  <c r="E25"/>
  <c r="E24"/>
  <c r="E23"/>
  <c r="E22"/>
  <c r="E21"/>
  <c r="E20"/>
  <c r="E19"/>
  <c r="E18"/>
  <c r="E17"/>
  <c r="E16"/>
  <c r="E15"/>
  <c r="E14"/>
  <c r="L37" i="59" l="1"/>
  <c r="M48" i="139" l="1"/>
  <c r="L48"/>
  <c r="K48"/>
  <c r="L12" i="1"/>
  <c r="G12" i="4" l="1"/>
  <c r="P13" i="114" l="1"/>
  <c r="P14" i="88"/>
  <c r="K42" i="75"/>
  <c r="K38"/>
  <c r="K44"/>
  <c r="K43"/>
  <c r="K41"/>
  <c r="K40"/>
  <c r="K39"/>
  <c r="K37"/>
  <c r="K36"/>
  <c r="K14"/>
  <c r="K13"/>
  <c r="K24" i="7"/>
  <c r="K20"/>
  <c r="K46"/>
  <c r="K44"/>
  <c r="K42"/>
  <c r="K40"/>
  <c r="K38"/>
  <c r="K36"/>
  <c r="K28"/>
  <c r="K26"/>
  <c r="K22"/>
  <c r="K18"/>
  <c r="K45"/>
  <c r="K43"/>
  <c r="K41"/>
  <c r="K39"/>
  <c r="K37"/>
  <c r="K35"/>
  <c r="K29"/>
  <c r="K27"/>
  <c r="K25"/>
  <c r="K23"/>
  <c r="K21"/>
  <c r="K19"/>
  <c r="K17"/>
  <c r="K16"/>
  <c r="K15"/>
  <c r="K14"/>
  <c r="D42" i="141" l="1"/>
  <c r="H44" i="75" l="1"/>
  <c r="H43"/>
  <c r="H42"/>
  <c r="H41"/>
  <c r="H40"/>
  <c r="H39"/>
  <c r="H38"/>
  <c r="Q38" s="1"/>
  <c r="H37"/>
  <c r="Q37" s="1"/>
  <c r="H36"/>
  <c r="Q36" s="1"/>
  <c r="Q35"/>
  <c r="Q34"/>
  <c r="Q33"/>
  <c r="Q31"/>
  <c r="Q30"/>
  <c r="H14"/>
  <c r="H13"/>
  <c r="H46" i="7"/>
  <c r="H45"/>
  <c r="H44"/>
  <c r="H43"/>
  <c r="H42"/>
  <c r="H41"/>
  <c r="H40"/>
  <c r="H39"/>
  <c r="H38"/>
  <c r="H37"/>
  <c r="H36"/>
  <c r="Q36" s="1"/>
  <c r="H35"/>
  <c r="Q35" s="1"/>
  <c r="Q34"/>
  <c r="Q32"/>
  <c r="Q31"/>
  <c r="H29"/>
  <c r="H28"/>
  <c r="H27"/>
  <c r="H26"/>
  <c r="H25"/>
  <c r="H24"/>
  <c r="H23"/>
  <c r="H22"/>
  <c r="H21"/>
  <c r="H20"/>
  <c r="H19"/>
  <c r="H18"/>
  <c r="H17"/>
  <c r="H16"/>
  <c r="H15"/>
  <c r="H14"/>
  <c r="M45" i="88" l="1"/>
  <c r="M43"/>
  <c r="M41"/>
  <c r="M14" i="114"/>
  <c r="S14" s="1"/>
  <c r="M42" i="88" l="1"/>
  <c r="M14"/>
  <c r="M46"/>
  <c r="M44"/>
  <c r="M13" i="114"/>
  <c r="J14" i="144" l="1"/>
  <c r="L12" i="56" l="1"/>
  <c r="L11"/>
  <c r="J13"/>
  <c r="H13"/>
  <c r="F13"/>
  <c r="D13"/>
  <c r="B13"/>
  <c r="N41" i="7" l="1"/>
  <c r="Q41" s="1"/>
  <c r="L13" i="56"/>
  <c r="T23" i="98" l="1"/>
  <c r="S23"/>
  <c r="R23"/>
  <c r="T21"/>
  <c r="W21" s="1"/>
  <c r="S21"/>
  <c r="T18"/>
  <c r="S18"/>
  <c r="R18"/>
  <c r="T16"/>
  <c r="T25" s="1"/>
  <c r="S16"/>
  <c r="R16"/>
  <c r="K23"/>
  <c r="J23"/>
  <c r="I23"/>
  <c r="J21"/>
  <c r="I21"/>
  <c r="U21" s="1"/>
  <c r="K18"/>
  <c r="J18"/>
  <c r="K16"/>
  <c r="J16"/>
  <c r="E43" i="145"/>
  <c r="E42"/>
  <c r="E41"/>
  <c r="E40"/>
  <c r="E39"/>
  <c r="E38"/>
  <c r="E37"/>
  <c r="E36"/>
  <c r="E35"/>
  <c r="E34"/>
  <c r="E33"/>
  <c r="E32"/>
  <c r="E31"/>
  <c r="E26"/>
  <c r="E25"/>
  <c r="E24"/>
  <c r="E23"/>
  <c r="E22"/>
  <c r="E21"/>
  <c r="E20"/>
  <c r="P20" s="1"/>
  <c r="E19"/>
  <c r="E18"/>
  <c r="E17"/>
  <c r="E16"/>
  <c r="E15"/>
  <c r="E14"/>
  <c r="E13"/>
  <c r="E12"/>
  <c r="P12" s="1"/>
  <c r="E11"/>
  <c r="I31" i="144"/>
  <c r="T31" s="1"/>
  <c r="R44"/>
  <c r="Q44"/>
  <c r="P44"/>
  <c r="O44"/>
  <c r="N44"/>
  <c r="L44"/>
  <c r="K44"/>
  <c r="J35"/>
  <c r="I35" s="1"/>
  <c r="T35" s="1"/>
  <c r="I33"/>
  <c r="T33" s="1"/>
  <c r="I32"/>
  <c r="T32" s="1"/>
  <c r="J25"/>
  <c r="I25" s="1"/>
  <c r="T25" s="1"/>
  <c r="I23"/>
  <c r="T23" s="1"/>
  <c r="I16"/>
  <c r="T16" s="1"/>
  <c r="I14"/>
  <c r="T14" s="1"/>
  <c r="J11"/>
  <c r="G43" i="29"/>
  <c r="J43" s="1"/>
  <c r="I43" s="1"/>
  <c r="G42"/>
  <c r="G41"/>
  <c r="G40"/>
  <c r="G39"/>
  <c r="J39" s="1"/>
  <c r="I39" s="1"/>
  <c r="G38"/>
  <c r="G37"/>
  <c r="G36"/>
  <c r="G35"/>
  <c r="G34"/>
  <c r="I33"/>
  <c r="I32"/>
  <c r="I31"/>
  <c r="I29"/>
  <c r="I28"/>
  <c r="G26"/>
  <c r="G25"/>
  <c r="J25" s="1"/>
  <c r="I25" s="1"/>
  <c r="G24"/>
  <c r="I23"/>
  <c r="G22"/>
  <c r="G21"/>
  <c r="J21" s="1"/>
  <c r="I21" s="1"/>
  <c r="G20"/>
  <c r="G19"/>
  <c r="G18"/>
  <c r="G17"/>
  <c r="I16"/>
  <c r="G15"/>
  <c r="G14"/>
  <c r="G13"/>
  <c r="G12"/>
  <c r="G11"/>
  <c r="J11" s="1"/>
  <c r="H17" i="14"/>
  <c r="H12"/>
  <c r="I44" i="13"/>
  <c r="I43"/>
  <c r="I42"/>
  <c r="I41"/>
  <c r="I40"/>
  <c r="I39"/>
  <c r="I38"/>
  <c r="I12"/>
  <c r="S13" i="114"/>
  <c r="R13"/>
  <c r="Q13"/>
  <c r="S46" i="88"/>
  <c r="R46"/>
  <c r="Q46"/>
  <c r="S45"/>
  <c r="R45"/>
  <c r="Q45"/>
  <c r="S44"/>
  <c r="R44"/>
  <c r="Q44"/>
  <c r="S43"/>
  <c r="R43"/>
  <c r="Q43"/>
  <c r="S42"/>
  <c r="R42"/>
  <c r="Q42"/>
  <c r="S41"/>
  <c r="R41"/>
  <c r="Q41"/>
  <c r="R40"/>
  <c r="Q40"/>
  <c r="R39"/>
  <c r="Q39"/>
  <c r="R38"/>
  <c r="Q38"/>
  <c r="R37"/>
  <c r="Q37"/>
  <c r="R19"/>
  <c r="Q19"/>
  <c r="R18"/>
  <c r="Q18"/>
  <c r="R17"/>
  <c r="Q17"/>
  <c r="R16"/>
  <c r="Q16"/>
  <c r="R15"/>
  <c r="Q15"/>
  <c r="S14"/>
  <c r="R14"/>
  <c r="Q14"/>
  <c r="V18" i="98" l="1"/>
  <c r="U23"/>
  <c r="U16"/>
  <c r="W18"/>
  <c r="V23"/>
  <c r="J13" i="29"/>
  <c r="I13" s="1"/>
  <c r="J17"/>
  <c r="I17" s="1"/>
  <c r="J22" i="144"/>
  <c r="I22" s="1"/>
  <c r="T22" s="1"/>
  <c r="J39"/>
  <c r="I39" s="1"/>
  <c r="T39" s="1"/>
  <c r="J43"/>
  <c r="I43" s="1"/>
  <c r="T43" s="1"/>
  <c r="J12" i="29"/>
  <c r="I12" s="1"/>
  <c r="J20"/>
  <c r="I20" s="1"/>
  <c r="J24"/>
  <c r="I24" s="1"/>
  <c r="J34"/>
  <c r="I34" s="1"/>
  <c r="J42"/>
  <c r="I42" s="1"/>
  <c r="J17" i="144"/>
  <c r="I17" s="1"/>
  <c r="T17" s="1"/>
  <c r="J21"/>
  <c r="I21" s="1"/>
  <c r="T21" s="1"/>
  <c r="J34"/>
  <c r="I34" s="1"/>
  <c r="T34" s="1"/>
  <c r="J42"/>
  <c r="I42" s="1"/>
  <c r="T42" s="1"/>
  <c r="J15" i="29"/>
  <c r="I15" s="1"/>
  <c r="J19"/>
  <c r="I19" s="1"/>
  <c r="J37"/>
  <c r="I37" s="1"/>
  <c r="J41"/>
  <c r="I41" s="1"/>
  <c r="J12" i="144"/>
  <c r="I12" s="1"/>
  <c r="T12" s="1"/>
  <c r="J20"/>
  <c r="I20" s="1"/>
  <c r="T20" s="1"/>
  <c r="J24"/>
  <c r="I24" s="1"/>
  <c r="T24" s="1"/>
  <c r="J37"/>
  <c r="I37" s="1"/>
  <c r="T37" s="1"/>
  <c r="J41"/>
  <c r="I41" s="1"/>
  <c r="T41" s="1"/>
  <c r="P44" i="145"/>
  <c r="W16" i="98"/>
  <c r="W25" s="1"/>
  <c r="V21"/>
  <c r="J35" i="29"/>
  <c r="I35" s="1"/>
  <c r="J18" i="144"/>
  <c r="I18" s="1"/>
  <c r="T18" s="1"/>
  <c r="J26"/>
  <c r="I26" s="1"/>
  <c r="T26" s="1"/>
  <c r="J38" i="29"/>
  <c r="I38" s="1"/>
  <c r="J13" i="144"/>
  <c r="I13" s="1"/>
  <c r="T13" s="1"/>
  <c r="J38"/>
  <c r="I38" s="1"/>
  <c r="T38" s="1"/>
  <c r="J14" i="29"/>
  <c r="I14" s="1"/>
  <c r="J18"/>
  <c r="I18" s="1"/>
  <c r="J22"/>
  <c r="I22" s="1"/>
  <c r="J26"/>
  <c r="I26" s="1"/>
  <c r="J36"/>
  <c r="I36" s="1"/>
  <c r="J40"/>
  <c r="I40" s="1"/>
  <c r="J15" i="144"/>
  <c r="I15" s="1"/>
  <c r="T15" s="1"/>
  <c r="J19"/>
  <c r="I19" s="1"/>
  <c r="T19" s="1"/>
  <c r="J36"/>
  <c r="I36" s="1"/>
  <c r="T36" s="1"/>
  <c r="J40"/>
  <c r="I40" s="1"/>
  <c r="T40" s="1"/>
  <c r="V16" i="98"/>
  <c r="W23"/>
  <c r="I11" i="144"/>
  <c r="T11" s="1"/>
  <c r="I17" i="98"/>
  <c r="M44" i="144"/>
  <c r="T17" i="98"/>
  <c r="S17"/>
  <c r="R17"/>
  <c r="K17"/>
  <c r="J17"/>
  <c r="G44" i="144"/>
  <c r="L11" i="47"/>
  <c r="G11"/>
  <c r="L43" i="59"/>
  <c r="L42"/>
  <c r="L41"/>
  <c r="L40"/>
  <c r="L39"/>
  <c r="L38"/>
  <c r="L36"/>
  <c r="L35"/>
  <c r="G30" i="100"/>
  <c r="G26"/>
  <c r="G24"/>
  <c r="G17"/>
  <c r="G16"/>
  <c r="G13"/>
  <c r="G12"/>
  <c r="L11" i="59"/>
  <c r="G43"/>
  <c r="D41" i="100" s="1"/>
  <c r="F41" s="1"/>
  <c r="G42" i="59"/>
  <c r="D40" i="100" s="1"/>
  <c r="F40" s="1"/>
  <c r="G41" i="59"/>
  <c r="D39" i="100" s="1"/>
  <c r="F39" s="1"/>
  <c r="G40" i="59"/>
  <c r="D38" i="100" s="1"/>
  <c r="F38" s="1"/>
  <c r="G39" i="59"/>
  <c r="D37" i="100" s="1"/>
  <c r="F37" s="1"/>
  <c r="G38" i="59"/>
  <c r="D36" i="100" s="1"/>
  <c r="F36" s="1"/>
  <c r="G37" i="59"/>
  <c r="G36"/>
  <c r="D34" i="100" s="1"/>
  <c r="F34" s="1"/>
  <c r="G35" i="59"/>
  <c r="D33" i="100" s="1"/>
  <c r="F33" s="1"/>
  <c r="G11" i="59"/>
  <c r="D9" i="100" s="1"/>
  <c r="L43" i="58"/>
  <c r="L42"/>
  <c r="L41"/>
  <c r="L40"/>
  <c r="L39"/>
  <c r="L38"/>
  <c r="L37"/>
  <c r="G38" i="111" s="1"/>
  <c r="L36" i="58"/>
  <c r="L35"/>
  <c r="G36" i="111" s="1"/>
  <c r="L34" i="58"/>
  <c r="G35" i="111" s="1"/>
  <c r="G29" i="100"/>
  <c r="G27"/>
  <c r="G23"/>
  <c r="G22"/>
  <c r="G19"/>
  <c r="G18"/>
  <c r="G15"/>
  <c r="G14"/>
  <c r="G11"/>
  <c r="L11" i="58"/>
  <c r="G21" i="100"/>
  <c r="G20"/>
  <c r="L13" i="1"/>
  <c r="L45" s="1"/>
  <c r="G13"/>
  <c r="C10" i="100" s="1"/>
  <c r="F10" s="1"/>
  <c r="G12" i="1"/>
  <c r="G11" i="60"/>
  <c r="L11"/>
  <c r="F19" i="127"/>
  <c r="F18"/>
  <c r="F17"/>
  <c r="F16"/>
  <c r="F15"/>
  <c r="F14"/>
  <c r="F13"/>
  <c r="F12"/>
  <c r="F13" i="111"/>
  <c r="F12"/>
  <c r="F14" i="4"/>
  <c r="F13"/>
  <c r="F12"/>
  <c r="G37" i="100" l="1"/>
  <c r="H37" s="1"/>
  <c r="G35"/>
  <c r="P13" i="75"/>
  <c r="O13"/>
  <c r="J44" i="29"/>
  <c r="G42" i="111"/>
  <c r="G39"/>
  <c r="G43"/>
  <c r="G44"/>
  <c r="G41"/>
  <c r="G40"/>
  <c r="G37"/>
  <c r="M37" i="59"/>
  <c r="D35" i="100"/>
  <c r="F35" s="1"/>
  <c r="H35" s="1"/>
  <c r="G38"/>
  <c r="H15"/>
  <c r="H20"/>
  <c r="H18"/>
  <c r="H27"/>
  <c r="H13"/>
  <c r="H26"/>
  <c r="H23"/>
  <c r="H21"/>
  <c r="H11"/>
  <c r="H19"/>
  <c r="H29"/>
  <c r="H16"/>
  <c r="H30"/>
  <c r="H22"/>
  <c r="H17"/>
  <c r="H24"/>
  <c r="H14"/>
  <c r="H12"/>
  <c r="M12" i="1"/>
  <c r="C9" i="100"/>
  <c r="F9" s="1"/>
  <c r="P14" i="7"/>
  <c r="G31" i="100"/>
  <c r="G34"/>
  <c r="G39"/>
  <c r="G10"/>
  <c r="G33"/>
  <c r="H33" s="1"/>
  <c r="G40"/>
  <c r="G32"/>
  <c r="G36"/>
  <c r="G41"/>
  <c r="V17" i="98"/>
  <c r="G13" i="4"/>
  <c r="G17"/>
  <c r="G21"/>
  <c r="G25"/>
  <c r="G9" i="100"/>
  <c r="G12" i="111"/>
  <c r="I44" i="144"/>
  <c r="T44"/>
  <c r="G18" i="4"/>
  <c r="G13" i="111"/>
  <c r="G15" i="4"/>
  <c r="G20"/>
  <c r="G24"/>
  <c r="G15" i="111"/>
  <c r="J44" i="144"/>
  <c r="U17" i="98"/>
  <c r="G22" i="4"/>
  <c r="G14"/>
  <c r="G19"/>
  <c r="G23"/>
  <c r="G14" i="111"/>
  <c r="W17" i="98"/>
  <c r="M40" i="58"/>
  <c r="G42" i="74"/>
  <c r="H23" i="4"/>
  <c r="J23" s="1"/>
  <c r="H17"/>
  <c r="J17" s="1"/>
  <c r="M13" i="1"/>
  <c r="M14"/>
  <c r="M35" i="58"/>
  <c r="M43"/>
  <c r="P19" i="75"/>
  <c r="P27"/>
  <c r="P18"/>
  <c r="P17"/>
  <c r="P21"/>
  <c r="P25"/>
  <c r="P39"/>
  <c r="P43"/>
  <c r="P15"/>
  <c r="P23"/>
  <c r="P41"/>
  <c r="P45"/>
  <c r="P14"/>
  <c r="P22"/>
  <c r="P26"/>
  <c r="P40"/>
  <c r="P44"/>
  <c r="P16"/>
  <c r="P20"/>
  <c r="P24"/>
  <c r="P28"/>
  <c r="P42"/>
  <c r="M41" i="59"/>
  <c r="M39" i="58"/>
  <c r="M36"/>
  <c r="G41" i="5"/>
  <c r="Q11" i="47"/>
  <c r="J42" i="86"/>
  <c r="Q11" i="60"/>
  <c r="M42" i="58"/>
  <c r="M34"/>
  <c r="M38"/>
  <c r="M11"/>
  <c r="M38" i="59"/>
  <c r="M42"/>
  <c r="M11"/>
  <c r="M36"/>
  <c r="M40"/>
  <c r="M35"/>
  <c r="M39"/>
  <c r="M43"/>
  <c r="M37" i="58"/>
  <c r="M41"/>
  <c r="J12" i="127"/>
  <c r="Q26" i="98"/>
  <c r="P26"/>
  <c r="O26"/>
  <c r="H26"/>
  <c r="G26"/>
  <c r="F26"/>
  <c r="L44" i="65"/>
  <c r="K44"/>
  <c r="J44"/>
  <c r="I44"/>
  <c r="H44"/>
  <c r="G44"/>
  <c r="F44"/>
  <c r="E44"/>
  <c r="D44"/>
  <c r="C44"/>
  <c r="N44" i="145"/>
  <c r="M44"/>
  <c r="L44"/>
  <c r="K44"/>
  <c r="J44"/>
  <c r="I44"/>
  <c r="H44"/>
  <c r="G44"/>
  <c r="F44"/>
  <c r="E44"/>
  <c r="C44"/>
  <c r="F44" i="144"/>
  <c r="E44"/>
  <c r="D44"/>
  <c r="C44"/>
  <c r="R44" i="29"/>
  <c r="Q44"/>
  <c r="P44"/>
  <c r="O44"/>
  <c r="N44"/>
  <c r="M44"/>
  <c r="L44"/>
  <c r="K44"/>
  <c r="G44"/>
  <c r="F44"/>
  <c r="E44"/>
  <c r="D44"/>
  <c r="C44"/>
  <c r="M45" i="119"/>
  <c r="L45"/>
  <c r="J45"/>
  <c r="I45"/>
  <c r="H45"/>
  <c r="F45"/>
  <c r="I44" i="84"/>
  <c r="H44"/>
  <c r="G44"/>
  <c r="F44"/>
  <c r="E44"/>
  <c r="C44"/>
  <c r="D45" i="66"/>
  <c r="L45" i="93"/>
  <c r="K45"/>
  <c r="J45"/>
  <c r="I45"/>
  <c r="H45"/>
  <c r="G45"/>
  <c r="F45"/>
  <c r="E45"/>
  <c r="H43" i="103"/>
  <c r="G43"/>
  <c r="E43"/>
  <c r="D43"/>
  <c r="D46" i="138"/>
  <c r="H25" i="14"/>
  <c r="G26"/>
  <c r="F25"/>
  <c r="E25"/>
  <c r="D25"/>
  <c r="C25"/>
  <c r="H16"/>
  <c r="F16"/>
  <c r="E16"/>
  <c r="D16"/>
  <c r="C16"/>
  <c r="I45" i="13"/>
  <c r="H45"/>
  <c r="F45"/>
  <c r="E45"/>
  <c r="D45"/>
  <c r="C45"/>
  <c r="V46" i="114"/>
  <c r="U46"/>
  <c r="S46"/>
  <c r="R46"/>
  <c r="Q46"/>
  <c r="P46"/>
  <c r="O46"/>
  <c r="N46"/>
  <c r="M46"/>
  <c r="L46"/>
  <c r="K46"/>
  <c r="J46"/>
  <c r="I46"/>
  <c r="H46"/>
  <c r="G46"/>
  <c r="F46"/>
  <c r="E46"/>
  <c r="D46"/>
  <c r="C46"/>
  <c r="V47" i="88"/>
  <c r="U47"/>
  <c r="S47"/>
  <c r="R47"/>
  <c r="Q47"/>
  <c r="P47"/>
  <c r="O47"/>
  <c r="N47"/>
  <c r="M47"/>
  <c r="L47"/>
  <c r="K47"/>
  <c r="J47"/>
  <c r="I47"/>
  <c r="H47"/>
  <c r="G47"/>
  <c r="F47"/>
  <c r="E47"/>
  <c r="D47"/>
  <c r="C47"/>
  <c r="K46" i="75"/>
  <c r="J46"/>
  <c r="I46"/>
  <c r="H46"/>
  <c r="G46"/>
  <c r="F46"/>
  <c r="E46"/>
  <c r="D46"/>
  <c r="C46"/>
  <c r="K47" i="7"/>
  <c r="J47"/>
  <c r="I47"/>
  <c r="H47"/>
  <c r="F47"/>
  <c r="E47"/>
  <c r="D47"/>
  <c r="C47"/>
  <c r="M46" i="86"/>
  <c r="L46"/>
  <c r="G46"/>
  <c r="F46"/>
  <c r="E45" i="5"/>
  <c r="D45"/>
  <c r="C45"/>
  <c r="G45" i="127"/>
  <c r="F45"/>
  <c r="D45"/>
  <c r="C45"/>
  <c r="F45" i="111"/>
  <c r="D45"/>
  <c r="C45"/>
  <c r="P44" i="47"/>
  <c r="O44"/>
  <c r="N44"/>
  <c r="M44"/>
  <c r="L44"/>
  <c r="K44"/>
  <c r="J44"/>
  <c r="I44"/>
  <c r="H44"/>
  <c r="G44"/>
  <c r="F44"/>
  <c r="E44"/>
  <c r="D44"/>
  <c r="C44"/>
  <c r="P44" i="60"/>
  <c r="O44"/>
  <c r="N44"/>
  <c r="M44"/>
  <c r="L44"/>
  <c r="K44"/>
  <c r="J44"/>
  <c r="I44"/>
  <c r="H44"/>
  <c r="G44"/>
  <c r="F44"/>
  <c r="E44"/>
  <c r="D44"/>
  <c r="C44"/>
  <c r="N44" i="59"/>
  <c r="L44"/>
  <c r="K44"/>
  <c r="J44"/>
  <c r="I44"/>
  <c r="H44"/>
  <c r="G44"/>
  <c r="F44"/>
  <c r="E44"/>
  <c r="D44"/>
  <c r="C44"/>
  <c r="N44" i="58"/>
  <c r="L44"/>
  <c r="K44"/>
  <c r="J44"/>
  <c r="I44"/>
  <c r="H44"/>
  <c r="G44"/>
  <c r="F44"/>
  <c r="E44"/>
  <c r="D44"/>
  <c r="C44"/>
  <c r="N45" i="1"/>
  <c r="K45"/>
  <c r="J45"/>
  <c r="I45"/>
  <c r="H45"/>
  <c r="G45"/>
  <c r="F45"/>
  <c r="E45"/>
  <c r="D45"/>
  <c r="C45"/>
  <c r="F45" i="4"/>
  <c r="D45"/>
  <c r="C45"/>
  <c r="L46" i="75" l="1"/>
  <c r="G45" i="111"/>
  <c r="D42" i="100"/>
  <c r="H41"/>
  <c r="H36"/>
  <c r="H39"/>
  <c r="H40"/>
  <c r="H38"/>
  <c r="H32"/>
  <c r="H34"/>
  <c r="H31"/>
  <c r="H10"/>
  <c r="H9"/>
  <c r="C45" i="66"/>
  <c r="E45" i="119"/>
  <c r="F45" i="66"/>
  <c r="G45" i="4"/>
  <c r="D45" i="93"/>
  <c r="E45" i="66"/>
  <c r="G44" i="74"/>
  <c r="G43"/>
  <c r="G41"/>
  <c r="G40"/>
  <c r="G39"/>
  <c r="G38"/>
  <c r="G37"/>
  <c r="G36"/>
  <c r="G35"/>
  <c r="G34"/>
  <c r="H15" i="111"/>
  <c r="J15" s="1"/>
  <c r="H14"/>
  <c r="J14" s="1"/>
  <c r="G42" i="5"/>
  <c r="J43" i="86" s="1"/>
  <c r="G40" i="5"/>
  <c r="G39"/>
  <c r="H25" i="4"/>
  <c r="J25" s="1"/>
  <c r="H24"/>
  <c r="J24" s="1"/>
  <c r="H22"/>
  <c r="J22" s="1"/>
  <c r="H21"/>
  <c r="J21" s="1"/>
  <c r="H20"/>
  <c r="J20" s="1"/>
  <c r="J20" i="86"/>
  <c r="H19" i="4"/>
  <c r="J19" s="1"/>
  <c r="H18"/>
  <c r="J18" s="1"/>
  <c r="L47" i="7"/>
  <c r="H13" i="4"/>
  <c r="J13" s="1"/>
  <c r="G12" i="5"/>
  <c r="H12" i="4"/>
  <c r="J12" s="1"/>
  <c r="G12" i="74"/>
  <c r="H12" i="111"/>
  <c r="J12" s="1"/>
  <c r="G13" i="74"/>
  <c r="H13" i="111"/>
  <c r="J13" s="1"/>
  <c r="Q44" i="47"/>
  <c r="G14" i="5"/>
  <c r="H14" i="4"/>
  <c r="J14" s="1"/>
  <c r="H16"/>
  <c r="J16" s="1"/>
  <c r="H15"/>
  <c r="J15" s="1"/>
  <c r="F26" i="14"/>
  <c r="D26"/>
  <c r="P46" i="75"/>
  <c r="P47" i="7"/>
  <c r="Q15" i="75"/>
  <c r="O15"/>
  <c r="Q19"/>
  <c r="O19"/>
  <c r="Q42"/>
  <c r="O42"/>
  <c r="Q24"/>
  <c r="O24"/>
  <c r="Q22"/>
  <c r="O22"/>
  <c r="Q20"/>
  <c r="O20"/>
  <c r="Q44"/>
  <c r="O44"/>
  <c r="Q26"/>
  <c r="O26"/>
  <c r="Q14"/>
  <c r="O14"/>
  <c r="Q23"/>
  <c r="O23"/>
  <c r="Q25"/>
  <c r="O25"/>
  <c r="Q18"/>
  <c r="O18"/>
  <c r="Q40"/>
  <c r="O40"/>
  <c r="Q45"/>
  <c r="O45"/>
  <c r="Q39"/>
  <c r="O39"/>
  <c r="Q21"/>
  <c r="O21"/>
  <c r="N13"/>
  <c r="Q16"/>
  <c r="O16"/>
  <c r="Q28"/>
  <c r="O28"/>
  <c r="Q41"/>
  <c r="O41"/>
  <c r="Q43"/>
  <c r="O43"/>
  <c r="Q17"/>
  <c r="O17"/>
  <c r="Q27"/>
  <c r="O27"/>
  <c r="M46"/>
  <c r="N39" i="7"/>
  <c r="Q39" s="1"/>
  <c r="N43"/>
  <c r="Q43" s="1"/>
  <c r="N16"/>
  <c r="Q16" s="1"/>
  <c r="N29"/>
  <c r="Q29" s="1"/>
  <c r="N21"/>
  <c r="Q21" s="1"/>
  <c r="N45"/>
  <c r="Q45" s="1"/>
  <c r="N26"/>
  <c r="Q26" s="1"/>
  <c r="N18"/>
  <c r="Q18" s="1"/>
  <c r="N38"/>
  <c r="Q38" s="1"/>
  <c r="N37"/>
  <c r="Q37" s="1"/>
  <c r="N25"/>
  <c r="Q25" s="1"/>
  <c r="N17"/>
  <c r="Q17" s="1"/>
  <c r="N20"/>
  <c r="Q20" s="1"/>
  <c r="N14"/>
  <c r="O14"/>
  <c r="N24"/>
  <c r="Q24" s="1"/>
  <c r="N42"/>
  <c r="Q42" s="1"/>
  <c r="N23"/>
  <c r="Q23" s="1"/>
  <c r="N15"/>
  <c r="Q15" s="1"/>
  <c r="N28"/>
  <c r="Q28" s="1"/>
  <c r="N46"/>
  <c r="Q46" s="1"/>
  <c r="N27"/>
  <c r="Q27" s="1"/>
  <c r="N19"/>
  <c r="Q19" s="1"/>
  <c r="N44"/>
  <c r="Q44" s="1"/>
  <c r="N40"/>
  <c r="Q40" s="1"/>
  <c r="N22"/>
  <c r="Q22" s="1"/>
  <c r="M47"/>
  <c r="C26" i="14"/>
  <c r="E26"/>
  <c r="G15" i="5"/>
  <c r="G43"/>
  <c r="G13"/>
  <c r="G37"/>
  <c r="J38" i="86" s="1"/>
  <c r="J17"/>
  <c r="J21"/>
  <c r="J40"/>
  <c r="J16"/>
  <c r="R19" i="98"/>
  <c r="S15"/>
  <c r="T15"/>
  <c r="G38" i="5"/>
  <c r="J39" i="86" s="1"/>
  <c r="G44" i="5"/>
  <c r="G36"/>
  <c r="Q44" i="60"/>
  <c r="C42" i="141"/>
  <c r="E42" i="100"/>
  <c r="C42"/>
  <c r="M45" i="1"/>
  <c r="H26" i="14"/>
  <c r="H45" i="127"/>
  <c r="J45"/>
  <c r="G42" i="100"/>
  <c r="K30" i="86" l="1"/>
  <c r="K31"/>
  <c r="K37"/>
  <c r="K36"/>
  <c r="K35"/>
  <c r="K34"/>
  <c r="K33"/>
  <c r="K28"/>
  <c r="K27"/>
  <c r="K26"/>
  <c r="K25"/>
  <c r="E46" i="138"/>
  <c r="N46" i="75"/>
  <c r="Q13"/>
  <c r="Q46" s="1"/>
  <c r="O46"/>
  <c r="N47" i="7"/>
  <c r="Q14"/>
  <c r="Q47" s="1"/>
  <c r="O47"/>
  <c r="J44" i="84"/>
  <c r="D44"/>
  <c r="K42" i="86"/>
  <c r="K40"/>
  <c r="K14"/>
  <c r="K22"/>
  <c r="C46"/>
  <c r="E46"/>
  <c r="F42" i="141"/>
  <c r="J14" i="86"/>
  <c r="K38"/>
  <c r="K16"/>
  <c r="J13"/>
  <c r="K17"/>
  <c r="K21"/>
  <c r="J45"/>
  <c r="J44"/>
  <c r="K44"/>
  <c r="K41"/>
  <c r="J24"/>
  <c r="K24"/>
  <c r="K20"/>
  <c r="K15"/>
  <c r="F45" i="74"/>
  <c r="K18" i="86"/>
  <c r="J18"/>
  <c r="G45" i="74"/>
  <c r="J45" i="111"/>
  <c r="H45"/>
  <c r="S19" i="98"/>
  <c r="S26" s="1"/>
  <c r="R15"/>
  <c r="L26"/>
  <c r="T19"/>
  <c r="T26" s="1"/>
  <c r="N26"/>
  <c r="J22" i="86"/>
  <c r="K39"/>
  <c r="K43"/>
  <c r="J41"/>
  <c r="K23"/>
  <c r="J23"/>
  <c r="J45" i="4"/>
  <c r="H45"/>
  <c r="G45" i="5"/>
  <c r="K19" i="86"/>
  <c r="J19"/>
  <c r="F45" i="5"/>
  <c r="F42" i="100"/>
  <c r="G11" i="135"/>
  <c r="F11"/>
  <c r="E11"/>
  <c r="D11"/>
  <c r="R26" i="98" l="1"/>
  <c r="C45" i="93"/>
  <c r="D45" i="119"/>
  <c r="C45"/>
  <c r="M26" i="98"/>
  <c r="F43" i="103"/>
  <c r="C43"/>
  <c r="D46" i="86"/>
  <c r="K13"/>
  <c r="K45"/>
  <c r="I46"/>
  <c r="J15"/>
  <c r="J46" s="1"/>
  <c r="H46"/>
  <c r="T25" i="96"/>
  <c r="U24"/>
  <c r="T24"/>
  <c r="S24"/>
  <c r="Q19"/>
  <c r="O19"/>
  <c r="O20"/>
  <c r="P20"/>
  <c r="P19"/>
  <c r="O18"/>
  <c r="O22" s="1"/>
  <c r="Q18"/>
  <c r="Q22" s="1"/>
  <c r="P18"/>
  <c r="P22" s="1"/>
  <c r="P17"/>
  <c r="O17"/>
  <c r="O16"/>
  <c r="Q16"/>
  <c r="P16"/>
  <c r="Q17"/>
  <c r="U25"/>
  <c r="V24" l="1"/>
  <c r="K46" i="86"/>
  <c r="S25" i="96"/>
  <c r="V25" s="1"/>
  <c r="R16"/>
  <c r="Q20"/>
  <c r="D29" l="1"/>
  <c r="F24"/>
  <c r="F25"/>
  <c r="S16"/>
  <c r="U16"/>
  <c r="T16"/>
  <c r="E29" l="1"/>
  <c r="V16"/>
  <c r="C29"/>
  <c r="F29" s="1"/>
  <c r="G23" i="102" l="1"/>
  <c r="G22"/>
  <c r="G19"/>
  <c r="G18"/>
  <c r="G17"/>
  <c r="G16"/>
  <c r="G15"/>
  <c r="D48" i="139" l="1"/>
  <c r="C48"/>
  <c r="J48"/>
  <c r="I48"/>
  <c r="H48"/>
  <c r="G48"/>
  <c r="F48"/>
  <c r="G43" i="56"/>
  <c r="D43"/>
  <c r="S31"/>
  <c r="Q31"/>
  <c r="O31"/>
  <c r="M31"/>
  <c r="K31"/>
  <c r="I31"/>
  <c r="G31"/>
  <c r="E31"/>
  <c r="E48" i="139" l="1"/>
  <c r="A13" i="14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7" i="148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2" i="65"/>
  <c r="A13" s="1"/>
  <c r="A14" s="1"/>
  <c r="A15" s="1"/>
  <c r="A16" s="1"/>
  <c r="A17" s="1"/>
  <c r="A18" s="1"/>
  <c r="A19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78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14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14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14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2" i="2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10" i="10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U20" i="96" l="1"/>
  <c r="R20"/>
  <c r="R19"/>
  <c r="P29"/>
  <c r="R18"/>
  <c r="R22" s="1"/>
  <c r="R29" s="1"/>
  <c r="O29"/>
  <c r="Q29"/>
  <c r="T18"/>
  <c r="T22" s="1"/>
  <c r="T20"/>
  <c r="U18"/>
  <c r="U22" s="1"/>
  <c r="S18"/>
  <c r="S22" s="1"/>
  <c r="R17"/>
  <c r="H29"/>
  <c r="I29"/>
  <c r="L29"/>
  <c r="M29"/>
  <c r="S20"/>
  <c r="G29"/>
  <c r="K29"/>
  <c r="T29" l="1"/>
  <c r="S29"/>
  <c r="U29"/>
  <c r="V20"/>
  <c r="V19"/>
  <c r="V18"/>
  <c r="V22" s="1"/>
  <c r="J29"/>
  <c r="N29"/>
  <c r="V17"/>
  <c r="V29" l="1"/>
  <c r="I11" i="29"/>
  <c r="T44" s="1"/>
  <c r="I44" l="1"/>
  <c r="I18" i="98"/>
  <c r="U18" s="1"/>
  <c r="K15" l="1"/>
  <c r="K19"/>
  <c r="W19" s="1"/>
  <c r="I15"/>
  <c r="I19"/>
  <c r="U19" s="1"/>
  <c r="J15"/>
  <c r="J19"/>
  <c r="V19" s="1"/>
  <c r="V15" l="1"/>
  <c r="W15"/>
  <c r="U15"/>
  <c r="I26"/>
  <c r="D26"/>
  <c r="C26"/>
  <c r="K26"/>
  <c r="J26"/>
  <c r="E26"/>
  <c r="U26" l="1"/>
  <c r="V26"/>
  <c r="W26"/>
</calcChain>
</file>

<file path=xl/sharedStrings.xml><?xml version="1.0" encoding="utf-8"?>
<sst xmlns="http://schemas.openxmlformats.org/spreadsheetml/2006/main" count="4233" uniqueCount="912">
  <si>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</si>
  <si>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</si>
  <si>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</si>
  <si>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</si>
  <si>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</si>
  <si>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</si>
  <si>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</si>
  <si>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</si>
  <si>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</si>
  <si>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</si>
  <si>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</si>
  <si>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</si>
  <si>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</si>
  <si>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</si>
  <si>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</si>
  <si>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</si>
  <si>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</si>
  <si>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</si>
  <si>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</si>
  <si>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</si>
  <si>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</si>
  <si>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</si>
  <si>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</si>
  <si>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</si>
  <si>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</si>
  <si>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</si>
  <si>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</si>
  <si>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</si>
  <si>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</si>
  <si>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</si>
  <si>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</si>
  <si>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</si>
  <si>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</si>
  <si>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</si>
  <si>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</si>
  <si>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</si>
  <si>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</si>
  <si>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</si>
  <si>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</si>
  <si>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</si>
  <si>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</si>
  <si>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</si>
  <si>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</si>
  <si>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</si>
  <si>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</si>
  <si>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</si>
  <si>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</si>
  <si>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</si>
  <si>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</si>
  <si>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</si>
  <si>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</si>
  <si>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</si>
  <si>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</si>
  <si>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</si>
  <si>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</si>
  <si>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</si>
  <si>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</si>
  <si>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</si>
  <si>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</si>
  <si>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</si>
  <si>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</si>
  <si>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</si>
  <si>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</si>
  <si>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</si>
  <si>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</si>
  <si>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</si>
  <si>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</si>
  <si>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</si>
  <si>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</si>
  <si>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</si>
  <si>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</si>
  <si>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</si>
  <si>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</si>
  <si>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</si>
  <si>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</si>
  <si>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</si>
  <si>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</si>
  <si>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</si>
  <si>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</si>
  <si>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</si>
  <si>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</si>
  <si>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</si>
  <si>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</si>
  <si>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</si>
  <si>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</si>
  <si>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</si>
  <si>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</si>
  <si>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</si>
  <si>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</si>
  <si>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</si>
  <si>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</si>
  <si>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</si>
  <si>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</si>
  <si>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</si>
  <si>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</si>
  <si>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</si>
  <si>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</si>
  <si>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</si>
  <si>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</si>
  <si>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</si>
  <si>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</si>
  <si>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</si>
  <si>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</si>
  <si>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</si>
  <si>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</si>
  <si>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</si>
  <si>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</si>
  <si>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</si>
  <si>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</si>
  <si>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</si>
  <si>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</si>
  <si>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</si>
  <si>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</si>
  <si>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</si>
  <si>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</si>
  <si>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</si>
  <si>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</si>
  <si>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</si>
  <si>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</si>
  <si>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</si>
  <si>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</si>
  <si>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</si>
  <si>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</si>
  <si>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</si>
  <si>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</si>
  <si>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</si>
  <si>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</si>
  <si>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</si>
  <si>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</si>
  <si>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</si>
  <si>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</si>
  <si>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</si>
  <si>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</si>
  <si>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</si>
  <si>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</si>
  <si>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</si>
  <si>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</si>
  <si>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</si>
  <si>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</si>
  <si>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</si>
  <si>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</si>
  <si>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</si>
  <si>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</si>
  <si>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</si>
  <si>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</si>
  <si>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</si>
  <si>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</si>
  <si>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</si>
  <si>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</si>
  <si>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</si>
  <si>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</si>
  <si>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</si>
  <si>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</si>
  <si>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</si>
  <si>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</si>
  <si>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</si>
  <si>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</si>
  <si>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</si>
  <si>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</si>
  <si>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</si>
  <si>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</si>
  <si>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</si>
  <si>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</si>
  <si>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</si>
  <si>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</si>
  <si>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</si>
  <si>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</si>
  <si>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</si>
  <si>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</si>
  <si>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</si>
  <si>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</si>
  <si>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</si>
  <si>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</si>
  <si>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</si>
  <si>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</si>
  <si>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</si>
  <si>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</si>
  <si>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</si>
  <si>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</si>
  <si>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</si>
  <si>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</si>
  <si>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</si>
  <si>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</si>
  <si>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</si>
  <si>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</si>
  <si>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</si>
  <si>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</si>
  <si>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</si>
  <si>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</si>
  <si>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</si>
  <si>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</si>
  <si>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</si>
  <si>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</si>
  <si>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</si>
  <si>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</si>
  <si>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</si>
  <si>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</si>
  <si>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</si>
  <si>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</si>
  <si>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</si>
  <si>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</si>
  <si>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</si>
  <si>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</si>
  <si>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</si>
  <si>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</si>
  <si>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</si>
  <si>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</si>
  <si>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</si>
  <si>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</si>
  <si>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</si>
  <si>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</si>
  <si>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</si>
  <si>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</si>
  <si>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</si>
  <si>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</si>
  <si>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</si>
  <si>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</si>
  <si>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</si>
  <si>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</si>
  <si>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</si>
  <si>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</si>
  <si>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</si>
  <si>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</si>
  <si>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</si>
  <si>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</si>
  <si>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</si>
  <si>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</si>
  <si>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</si>
  <si>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</si>
  <si>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</si>
  <si>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</si>
  <si>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</si>
  <si>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</si>
  <si>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</si>
  <si>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</si>
  <si>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</si>
  <si>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</si>
  <si>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</si>
  <si>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</si>
  <si>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</si>
  <si>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</si>
  <si>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</si>
  <si>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</si>
  <si>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</si>
  <si>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</si>
  <si>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</si>
  <si>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</si>
  <si>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</si>
  <si>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</si>
  <si>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</si>
  <si>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</si>
  <si>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</si>
  <si>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</si>
  <si>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</si>
  <si>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</si>
  <si>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</si>
  <si>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</si>
  <si>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</si>
  <si>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</si>
  <si>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</si>
  <si>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</si>
  <si>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</si>
  <si>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</si>
  <si>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</si>
  <si>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</si>
  <si>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</si>
  <si>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</si>
  <si>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</si>
  <si>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</si>
  <si>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</si>
  <si>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</si>
  <si>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</si>
  <si>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</si>
  <si>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</si>
  <si>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</si>
  <si>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</si>
  <si>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</si>
  <si>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</si>
  <si>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</si>
  <si>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</si>
  <si>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</si>
  <si>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</si>
  <si>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</si>
  <si>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</si>
  <si>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</si>
  <si>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</si>
  <si>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</si>
  <si>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</si>
  <si>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</si>
  <si>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</si>
  <si>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</si>
  <si>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</si>
  <si>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</si>
  <si>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</si>
  <si>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</si>
  <si>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</si>
  <si>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</si>
  <si>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</si>
  <si>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</si>
  <si>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</si>
  <si>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</si>
  <si>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</si>
  <si>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</si>
  <si>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</si>
  <si>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</si>
  <si>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</si>
  <si>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</si>
  <si>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</si>
  <si>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</si>
  <si>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</si>
  <si>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</si>
  <si>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</si>
  <si>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</si>
  <si>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</si>
  <si>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</si>
  <si>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</si>
  <si>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</si>
  <si>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</si>
  <si>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</si>
  <si>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</si>
  <si>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</si>
  <si>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</si>
  <si>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</si>
  <si>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</si>
  <si>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</si>
  <si>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</si>
  <si>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</si>
  <si>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</si>
  <si>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</si>
  <si>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</si>
  <si>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</si>
  <si>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</si>
  <si>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</si>
  <si>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</si>
  <si>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</si>
  <si>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</si>
  <si>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</si>
  <si>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</si>
  <si>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</si>
  <si>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</si>
  <si>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</si>
  <si>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</si>
  <si>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</si>
  <si>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</si>
  <si>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</si>
  <si>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</si>
  <si>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</si>
  <si>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</si>
  <si>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</si>
  <si>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</si>
  <si>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</si>
  <si>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</si>
  <si>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</si>
  <si>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</si>
  <si>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</si>
  <si>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</si>
  <si>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</si>
  <si>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</si>
  <si>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</si>
  <si>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</si>
  <si>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</si>
  <si>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</si>
  <si>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</si>
  <si>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</si>
  <si>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</si>
  <si>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</si>
  <si>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</si>
  <si>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</si>
  <si>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</si>
  <si>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</si>
  <si>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</si>
  <si>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</si>
  <si>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</si>
  <si>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</si>
  <si>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</si>
  <si>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</si>
  <si>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</si>
  <si>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</si>
  <si>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</si>
  <si>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</si>
  <si>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</si>
  <si>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</si>
  <si>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</si>
  <si>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</si>
  <si>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</si>
  <si>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</si>
  <si>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</si>
  <si>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</si>
  <si>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</si>
  <si>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</si>
  <si>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</si>
  <si>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</si>
  <si>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</si>
  <si>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</si>
  <si>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</si>
  <si>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</si>
  <si>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</si>
  <si>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</si>
  <si>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</si>
  <si>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</si>
  <si>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</si>
  <si>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</si>
  <si>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</si>
  <si>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</si>
  <si>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</si>
  <si>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</si>
  <si>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</si>
  <si>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</si>
  <si>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</si>
  <si>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</si>
  <si>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</si>
  <si>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</si>
  <si>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</si>
  <si>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</si>
  <si>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</si>
  <si>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</si>
  <si>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</si>
  <si>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</si>
  <si>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</si>
  <si>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</si>
  <si>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</si>
  <si>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</si>
  <si>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</si>
  <si>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</si>
  <si>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</si>
  <si>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</si>
  <si>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</si>
  <si>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</si>
  <si>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</si>
  <si>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</si>
  <si>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</si>
  <si>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</si>
  <si>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</si>
  <si>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</si>
  <si>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</si>
  <si>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</si>
  <si>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</si>
  <si>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</si>
  <si>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</si>
  <si>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</si>
  <si>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</si>
  <si>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</si>
  <si>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</si>
  <si>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</si>
  <si>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</si>
  <si>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</si>
  <si>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</si>
  <si>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</si>
  <si>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</si>
  <si>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</si>
  <si>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</si>
  <si>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</si>
  <si>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</si>
  <si>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</si>
  <si>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</si>
  <si>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</si>
  <si>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</si>
  <si>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</si>
  <si>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</si>
  <si>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</si>
  <si>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</si>
  <si>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</si>
  <si>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</si>
  <si>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</si>
  <si>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</si>
  <si>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</si>
  <si>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</si>
  <si>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</si>
  <si>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</si>
  <si>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</si>
  <si>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</si>
  <si>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</si>
  <si>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</si>
  <si>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</si>
  <si>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</si>
  <si>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</si>
  <si>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</si>
  <si>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</si>
  <si>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</si>
  <si>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</si>
  <si>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</si>
  <si>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</si>
  <si>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</si>
  <si>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</si>
  <si>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</si>
  <si>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</si>
  <si>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</si>
  <si>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</si>
  <si>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</si>
  <si>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</si>
  <si>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</si>
  <si>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</si>
  <si>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</si>
  <si>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</si>
  <si>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</si>
  <si>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</si>
  <si>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</si>
  <si>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</si>
  <si>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</si>
  <si>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</si>
  <si>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</si>
  <si>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</si>
  <si>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</si>
  <si>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</si>
  <si>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</si>
  <si>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</si>
  <si>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</si>
  <si>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</si>
  <si>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</si>
  <si>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</si>
  <si>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</si>
  <si>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</si>
  <si>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</si>
  <si>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</si>
  <si>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</si>
  <si>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</si>
  <si>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</si>
  <si>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</si>
  <si>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</si>
  <si>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</si>
  <si>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</si>
  <si>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</si>
  <si>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</si>
  <si>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</si>
  <si>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</si>
  <si>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</si>
  <si>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</si>
  <si>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</si>
  <si>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</si>
  <si>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</si>
  <si>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</si>
  <si>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</si>
  <si>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</si>
  <si>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</si>
  <si>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</si>
  <si>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</si>
  <si>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</si>
  <si>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</si>
  <si>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</si>
  <si>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</si>
  <si>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</si>
  <si>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</si>
  <si>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</si>
  <si>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</si>
  <si>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</si>
  <si>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</si>
  <si>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</si>
  <si>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</si>
  <si>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</si>
  <si>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</si>
  <si>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</si>
  <si>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</si>
  <si>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</si>
  <si>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</si>
  <si>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</si>
  <si>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</si>
  <si>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</si>
  <si>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</si>
  <si>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</si>
  <si>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</si>
  <si>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</si>
  <si>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</si>
  <si>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</si>
  <si>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</si>
  <si>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</si>
  <si>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</si>
  <si>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</si>
  <si>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</si>
  <si>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</si>
  <si>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</si>
  <si>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</si>
  <si>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</si>
  <si>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</si>
  <si>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</si>
  <si>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</si>
  <si>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</si>
  <si>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</si>
  <si>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</si>
  <si>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</si>
  <si>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</si>
  <si>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</si>
  <si>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</si>
  <si>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</si>
  <si>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</si>
  <si>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</si>
  <si>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</si>
  <si>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</si>
  <si>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</si>
  <si>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</si>
  <si>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BHADRADRI</t>
  </si>
  <si>
    <t>JAGITIAL</t>
  </si>
  <si>
    <t>JANAGOAN</t>
  </si>
  <si>
    <t>JAYASHANKAR</t>
  </si>
  <si>
    <t>JOGULAMBA</t>
  </si>
  <si>
    <t>KAMAREDDY</t>
  </si>
  <si>
    <t>KARIMNAGAR</t>
  </si>
  <si>
    <t>KHAMMAM</t>
  </si>
  <si>
    <t>MAHABUBABAD</t>
  </si>
  <si>
    <t>MAHABUBNAGAR</t>
  </si>
  <si>
    <t>MEDAK</t>
  </si>
  <si>
    <t>MEDCHAL</t>
  </si>
  <si>
    <t>NAGARKURNOOL</t>
  </si>
  <si>
    <t>NALGONDA</t>
  </si>
  <si>
    <t>NIZAMABAD</t>
  </si>
  <si>
    <t>PEDDAPALLI</t>
  </si>
  <si>
    <t>RAJANNA</t>
  </si>
  <si>
    <t>RANGA REDDY</t>
  </si>
  <si>
    <t>SANGAREDDY</t>
  </si>
  <si>
    <t>SIDDIPET</t>
  </si>
  <si>
    <t>SURYAPET</t>
  </si>
  <si>
    <t>VIKARABAD</t>
  </si>
  <si>
    <t>WANAPARTHY</t>
  </si>
  <si>
    <t xml:space="preserve">WARANGAL (R) </t>
  </si>
  <si>
    <t>WARANGAL (U)</t>
  </si>
  <si>
    <t>YADADRI</t>
  </si>
  <si>
    <t>TOTAL</t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</si>
  <si>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Toll free number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</si>
  <si>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Dedicated landline number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</si>
  <si>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Call centre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</si>
  <si>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Emails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</si>
  <si>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Press news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</si>
  <si>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Radio/T.V.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</si>
  <si>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SMS</t>
    </r>
  </si>
  <si>
    <r>
      <rPr>
        <b/>
        <sz val="7"/>
        <color indexed="8"/>
        <rFont val="Arial"/>
        <family val="2"/>
      </rPr>
      <t xml:space="preserve">  </t>
    </r>
    <r>
      <rPr>
        <b/>
        <sz val="10"/>
        <color indexed="8"/>
        <rFont val="Arial"/>
        <family val="2"/>
      </rPr>
      <t>Postal system</t>
    </r>
  </si>
  <si>
    <t>ADILABAD</t>
  </si>
  <si>
    <t>HYDERABAD</t>
  </si>
  <si>
    <t>KOMRAM BHEEM</t>
  </si>
  <si>
    <t>MANCHERIAL</t>
  </si>
  <si>
    <t>NIRMAL</t>
  </si>
  <si>
    <t>NIL</t>
  </si>
  <si>
    <t>As per requirement</t>
  </si>
  <si>
    <t>One</t>
  </si>
  <si>
    <t>Thrice a week</t>
  </si>
  <si>
    <t>Egg</t>
  </si>
  <si>
    <t>2018-19</t>
  </si>
  <si>
    <t>Additional Director</t>
  </si>
  <si>
    <t>Assistant Director</t>
  </si>
  <si>
    <t>Superintendent</t>
  </si>
  <si>
    <t>Sr. Assistant</t>
  </si>
  <si>
    <t>Jr. Assistant</t>
  </si>
  <si>
    <t>Data Processing Officer</t>
  </si>
  <si>
    <t>Data Entry Operator</t>
  </si>
  <si>
    <t xml:space="preserve">Every month by 10th </t>
  </si>
  <si>
    <t>Awareness among the students on Mid Day Meal Scheme and training to cook-cum-helpers</t>
  </si>
  <si>
    <t>In convergence with UNICEF funds</t>
  </si>
  <si>
    <t>Care labs, Hyderabad</t>
  </si>
  <si>
    <t>Telangana, Hyderabad.</t>
  </si>
  <si>
    <t>Opening Balance</t>
  </si>
  <si>
    <t xml:space="preserve">                                    [Mid-Day Meal Scheme]</t>
  </si>
  <si>
    <t xml:space="preserve">                                  [Mid-Day Meal Scheme]</t>
  </si>
  <si>
    <t>Rs in lakhs</t>
  </si>
  <si>
    <t xml:space="preserve">                                                 [Mid-Day Meal Scheme]</t>
  </si>
  <si>
    <t>E-transfer</t>
  </si>
  <si>
    <t>Pulse 1 (Toor dal)</t>
  </si>
  <si>
    <t>Pulse 2 (Moong dal)</t>
  </si>
  <si>
    <t>Pulse 2 (Moong Dal)</t>
  </si>
  <si>
    <t>Akshayapatra Foundation</t>
  </si>
  <si>
    <t>MANNA Trust</t>
  </si>
  <si>
    <t>State / UT: TELANGANA</t>
  </si>
  <si>
    <t xml:space="preserve">STATE/UT: TELANGANA </t>
  </si>
  <si>
    <t>STATE/UT : TELANGANA</t>
  </si>
  <si>
    <t>STATE/UT: TELANGANA</t>
  </si>
  <si>
    <t>State/UT: TELANGANA</t>
  </si>
  <si>
    <t>State/UT : TELANGANA</t>
  </si>
  <si>
    <t>State / UT:  TELANGANA</t>
  </si>
  <si>
    <t>State / UT:TELANGANA</t>
  </si>
  <si>
    <t>STATE/ UT : TELANGANA</t>
  </si>
  <si>
    <t>No</t>
  </si>
  <si>
    <t>Table: AT- 10 F</t>
  </si>
  <si>
    <t>Egg Cost</t>
  </si>
  <si>
    <t>Yes</t>
  </si>
  <si>
    <t>Note: MANNA Trust is serving Mid Day Meals in 3 districts from one kitchen only.</t>
  </si>
  <si>
    <t>In rrural areas Kitchen-cum-stores are constructed in convergence with MGNREGS</t>
  </si>
  <si>
    <t>Disposed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</si>
  <si>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</si>
  <si>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</si>
  <si>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</si>
  <si>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AT-28: Requirement of kitchen-cum-stores in the Primary and Upper Primary schools for the year 2019-20</t>
  </si>
  <si>
    <t>Table: AT-28 A: Requirement of kitchen cum stores as per Plinth Area Norm in the Primary and Upper Primary schools for the year 2019-20</t>
  </si>
  <si>
    <t>Table: AT-32 A:  PAB-MDM Approval vs. PERFORMANCE (Upper Primary, Classes VI to VIII) during 2018-19 - Drought</t>
  </si>
  <si>
    <t>Mid-Day Meal Scheme</t>
  </si>
  <si>
    <t>2019-20</t>
  </si>
  <si>
    <t>*This information will be used for computing Performance Grading Index (PGI) also.</t>
  </si>
  <si>
    <t>NARAYANPET</t>
  </si>
  <si>
    <t>MULUGU</t>
  </si>
  <si>
    <t>NARAYNAPET</t>
  </si>
  <si>
    <t>Table: AT-28 B</t>
  </si>
  <si>
    <t>Table: AT-28 B: Repair of kitchen cum stores constructed ten years ago</t>
  </si>
  <si>
    <t>State/UT :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</si>
  <si>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</si>
  <si>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</si>
  <si>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</si>
  <si>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</si>
  <si>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</si>
  <si>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Table: AT-29A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</si>
  <si>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</si>
  <si>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</si>
  <si>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</si>
  <si>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</si>
  <si>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</si>
  <si>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</si>
  <si>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</si>
  <si>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</si>
  <si>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(01.04.18 to 31.3.19)</t>
    </r>
  </si>
  <si>
    <t>Opening Balance as on 01.04.18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</si>
  <si>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</si>
  <si>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</si>
  <si>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</si>
  <si>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</si>
  <si>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</si>
  <si>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</si>
  <si>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</si>
  <si>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Telangana, Hyderabad</t>
  </si>
  <si>
    <t>*Total sanctioned during 2006-07  to 2018-19</t>
  </si>
  <si>
    <t>Financial (Rs. in lakh)</t>
  </si>
  <si>
    <t>Temple, Gurudwara, Jail etc. (pls specify)</t>
  </si>
  <si>
    <t>Apr, 2018</t>
  </si>
  <si>
    <t>Dec,2018</t>
  </si>
  <si>
    <t>Jan,2019</t>
  </si>
  <si>
    <t>Feb,2019</t>
  </si>
  <si>
    <t>Mar,2019</t>
  </si>
  <si>
    <t>Mode of data collection (SMS/ IVRS/ Mobile App/ Web Application/ Others)</t>
  </si>
  <si>
    <t>Name of Agency implementing AMS in State/UT</t>
  </si>
  <si>
    <t>District:</t>
  </si>
  <si>
    <t>Requirement of funds for Transportation Assistance</t>
  </si>
  <si>
    <t>PDS rate (Rs per Quintal)</t>
  </si>
  <si>
    <t>Total funds required (Rs. in lakh)</t>
  </si>
  <si>
    <t>Kitchen-cum-store sanctioned during 2006-07 to 2018-19</t>
  </si>
  <si>
    <t>Note : State may indicate their plinth area and size of the kitchen-cum-stores if they have any other plinth area than mentioned in the table.</t>
  </si>
  <si>
    <t>Repair of kitchen-cum-stores</t>
  </si>
  <si>
    <t>Flexi fund @ 5% for new interventions</t>
  </si>
  <si>
    <t>23km</t>
  </si>
  <si>
    <t>Vimta Labs Limited, Life Sciences Campus, Medchal- Malkajigiri</t>
  </si>
  <si>
    <t>M/s Akshayapatra Foundation</t>
  </si>
  <si>
    <t>Note: The schools which are having the strength of below 20 are not proposed for sanction of kitchen sheds. The schools which are serving MDM through Centralized Kitchen are not proposed.</t>
  </si>
  <si>
    <t xml:space="preserve">               Kitchen sheds not proposed for aided schools, NCLP and Madarsas.</t>
  </si>
  <si>
    <t>Others (Payment of cooking cost)</t>
  </si>
  <si>
    <t>Annual Work Plan and Budget 2020-21</t>
  </si>
  <si>
    <t>2020-21</t>
  </si>
  <si>
    <t>Table: AT-31 : Budget Provision for the Year 2020-21</t>
  </si>
  <si>
    <t>Proposals for 2020-21</t>
  </si>
  <si>
    <t>Table: AT-1: GENERAL INFORMATION for 2019-20</t>
  </si>
  <si>
    <t>Allocation for FY 2019-20</t>
  </si>
  <si>
    <t>Table AT - 8 :Utilisation of funds towards honorarium to Cook-cum-Helpers (Primary classes I-V) during 2019-20</t>
  </si>
  <si>
    <t>Table: AT-7A: Utilisation of Cooking cost (Upper Primary Classes, VI-VIII) for 2019-20</t>
  </si>
  <si>
    <t>Allocation for 2019-20</t>
  </si>
  <si>
    <t>Table: AT-7: Utilisation of Cooking Cost (Primary, Classes I-V) during 2019-20</t>
  </si>
  <si>
    <t xml:space="preserve">Allocation for 2019-20                                </t>
  </si>
  <si>
    <t>Table: AT-6C: Utilisation of foodgrains (Coarse Grain) during 2019-20</t>
  </si>
  <si>
    <t>Gross Allocation for the  FY 2019-20</t>
  </si>
  <si>
    <t>Table: AT-6B: PAYMENT OF COST OF FOOD GRAINS TO FCI (Primary and Upper Primary Classes I-VIII) during2019-20</t>
  </si>
  <si>
    <t>Allocation for cost of foodgrains for 2019-20</t>
  </si>
  <si>
    <t>Table: AT-6A: Utilisation of foodgrains  (Upper Primary, Classes VI-VIII) during 2019-20</t>
  </si>
  <si>
    <t>Table: AT-6: Utilisation of foodgrains  (Primary, Classes I-V) during 2019-20</t>
  </si>
  <si>
    <t>Table: AT-5 D:  PAB-MDM Approval vs. PERFORMANCE (Upper Primary, Classes VI to VIII) during 2019-20 - Drought</t>
  </si>
  <si>
    <t>MDM-PAB Approval for 2019-20</t>
  </si>
  <si>
    <t>Table: AT-5 C:  PAB-MDM Approval vs. PERFORMANCE (Primary, Classes I - V) during 2019-20 - Drought</t>
  </si>
  <si>
    <t>Table: AT-5 B:  PAB-MDM Approval vs. PERFORMANCE - STC (NCLP Schools) during 2019-20</t>
  </si>
  <si>
    <t>MDM-PAB Approval for2019-20</t>
  </si>
  <si>
    <t>Table: AT-5 A:  PAB-MDM Approval vs. PERFORMANCE (Upper Primary, Classes VI to VIII) during 2019-20</t>
  </si>
  <si>
    <t>Table: AT-5:  PAB-MDM Approval vs. PERFORMANCE (Primary, Classes I - V) during 2019-20</t>
  </si>
  <si>
    <t>Table: AT-4A: Enrolment vis-a-vis availed for MDM  (Upper Primary, Classes VI - VIII) 2019-20</t>
  </si>
  <si>
    <t>Table: AT-4: Enrolment vis-à-vis availed for MDM  (Primary,Classes I- V) during 2019-20</t>
  </si>
  <si>
    <t>Table: AT-3C: No. of Institutions covered (Upper Primary without Primary, Classes VI-VIII) during 2019-20</t>
  </si>
  <si>
    <t>Table: AT-3B: No. of Institutions covered (Upper Primary with Primary, Classes I-VIII) during 2019-20</t>
  </si>
  <si>
    <t>Table: AT-3A: No. of Institutions covered  (Primary, Classes I-V)  during 2019-20</t>
  </si>
  <si>
    <t>Table AT-3: No. of Institutions in the State vis a vis Institutions serving MDM during 2019-20</t>
  </si>
  <si>
    <t>Table: AT-2A : Releasing of Funds from State to Directorate / Authority / District / Block / School level for 2019-20</t>
  </si>
  <si>
    <t>Table: AT-2 :  Details of  Provisions  in the State Budget 2019-20</t>
  </si>
  <si>
    <t>Opening Balance as on 01.04.2019</t>
  </si>
  <si>
    <t xml:space="preserve">Opening Balance as on 01.04.2019                                     </t>
  </si>
  <si>
    <t>(For the Period 01.04.2019 to 31.12.2019)</t>
  </si>
  <si>
    <t>During 01.04.18 to 31.12.2019</t>
  </si>
  <si>
    <t>During 01.04.2018 to 31.12.2019</t>
  </si>
  <si>
    <t>During 01.04.2019 to 31.12.2019</t>
  </si>
  <si>
    <t>(For the Period 01.04.18 to 31.12.2019)</t>
  </si>
  <si>
    <t>Unspent balance as on 31.12.2019               [Col: (4+5)-7]</t>
  </si>
  <si>
    <t>For the period 01.04.2019 to 31.12.2019</t>
  </si>
  <si>
    <t xml:space="preserve">Unspent Balance as on 31.12.2019[Col. 4+ Col.5+Col.6 -Col.8]  </t>
  </si>
  <si>
    <t>Unspent Balance as on 31.12.2019</t>
  </si>
  <si>
    <t xml:space="preserve">Total Unspent Balance as on 31.12.2019                                          </t>
  </si>
  <si>
    <t>Total Unspent Balance as on 31.12.2019</t>
  </si>
  <si>
    <t>Budget Released till 31.12.2019</t>
  </si>
  <si>
    <t>Table: AT-26A : Number of School Working Days (Upper Primary,Classes VI-VIII) for 2020-21</t>
  </si>
  <si>
    <t>Table: AT-26 : Number of School Working Days (Primary,Classes I-V) for 2020-21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</si>
  <si>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</si>
  <si>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</si>
  <si>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</si>
  <si>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</si>
  <si>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</si>
  <si>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</si>
  <si>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</si>
  <si>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</si>
  <si>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</si>
  <si>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</si>
  <si>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</si>
  <si>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</si>
  <si>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</si>
  <si>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</si>
  <si>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Annual Work Plan and Budget  2020-21</t>
  </si>
  <si>
    <t>Annual Work Plan &amp; Budget 2020-21</t>
  </si>
  <si>
    <t>Table: AT-32:  PAB-MDM Approval vs. PERFORMANCE (Primary Classes I to V) during 2019-20 - Drought</t>
  </si>
  <si>
    <t>During 01.04.19 To 31.12.19</t>
  </si>
  <si>
    <t>Table: AT-9 : Utilisation of Central Assitance towards Transportation Assistance (Primary &amp; Upper Primary,Classes I-VIII) during 2019-20</t>
  </si>
  <si>
    <t>Table: AT-10 :  Utilisation of Central Assistance towards MME  (Primary &amp; Upper Primary,Classes I-VIII) during 2019-20</t>
  </si>
  <si>
    <t>Table: AT-10 A : Details of Meetings at district level during 2019-20</t>
  </si>
  <si>
    <t>Table AT - 10 B : Details of Social Audit during 2019-20</t>
  </si>
  <si>
    <t>During 01.04.19 to 31.12.2019</t>
  </si>
  <si>
    <t>(As on 31st Dec, 2019)</t>
  </si>
  <si>
    <t>As on 31st Dec, 2019</t>
  </si>
  <si>
    <t>Table: AT-17 : Coverage under Rashtriya Bal Swasthya Karykram (School Health Programme) - 2019-20</t>
  </si>
  <si>
    <t>Table AT - 23 Annual and Monthly data entry status in MDM-MIS during 2019-20</t>
  </si>
  <si>
    <t>Table AT - 23 A- Implementation of Automated Monitoring System  during 2019-20</t>
  </si>
  <si>
    <t>Kitchen Gardens</t>
  </si>
  <si>
    <t>Supplementary Nutrition</t>
  </si>
  <si>
    <t>26.4.2019</t>
  </si>
  <si>
    <t>12.09.2019</t>
  </si>
  <si>
    <t>6.5.2019</t>
  </si>
  <si>
    <t>19.12.2019</t>
  </si>
  <si>
    <t>13.05.2019</t>
  </si>
  <si>
    <t>27.12.2019</t>
  </si>
  <si>
    <t>Enrolment (As on 30.09.2019)</t>
  </si>
  <si>
    <t>TotalEnrolment (As on 30.09.2019)</t>
  </si>
  <si>
    <t>Dec, 2019</t>
  </si>
  <si>
    <t>Apr, 2019</t>
  </si>
  <si>
    <t>One Day</t>
  </si>
  <si>
    <t>Training was imparted to all the Cook-cum-Helpers through T-SAT Channel by  National Institute of Rural Development (NIRD) &amp; State Resource Person</t>
  </si>
  <si>
    <t>Table: AT 30 :    Requirement of Cook cum Helpers for 2020-21</t>
  </si>
  <si>
    <t>Engaged in 2019-20</t>
  </si>
  <si>
    <t>*Total sanction during 2006-07 to 2019-20</t>
  </si>
  <si>
    <t>*Total Sanction during 2012-13 to 2019-20</t>
  </si>
  <si>
    <t>Table: AT-29 : Requirement of Kitchen Devices (new) during 2020-21 in Primary &amp; Upper Primary Schools</t>
  </si>
  <si>
    <t>Table: AT-29 A : Replacement of Kitchen Devices during 2020-21  in Primary &amp; Upper Primary Schools</t>
  </si>
  <si>
    <t xml:space="preserve">Table: AT- 2B </t>
  </si>
  <si>
    <t xml:space="preserve">Table AT-2 B: Month wise Transfer of Funds vs Expenditure under DBT during 2019-20 </t>
  </si>
  <si>
    <t xml:space="preserve">TOTAL CENTRAL SHARE - </t>
  </si>
  <si>
    <t>(Amount in Rs.)</t>
  </si>
  <si>
    <t>DBT COMPONENT CENTRAL SHARE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</si>
  <si>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</si>
  <si>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</si>
  <si>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</si>
  <si>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t>Remarks, if any</t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</si>
  <si>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</si>
  <si>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</si>
  <si>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</si>
  <si>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</si>
  <si>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</si>
  <si>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</si>
  <si>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</si>
  <si>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</si>
  <si>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</si>
  <si>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</si>
  <si>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</si>
  <si>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</si>
  <si>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</si>
  <si>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>Notes: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</si>
  <si>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</si>
  <si>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</si>
  <si>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</si>
  <si>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No. of working days (During 01.04.19 to 31.12.2019)                  </t>
  </si>
  <si>
    <r>
      <t xml:space="preserve">No. of working days </t>
    </r>
    <r>
      <rPr>
        <b/>
        <sz val="8"/>
        <rFont val="Arial"/>
        <family val="2"/>
      </rPr>
      <t>(During 01.04.2019 to 31.12.2019)</t>
    </r>
    <r>
      <rPr>
        <b/>
        <sz val="10"/>
        <rFont val="Arial"/>
        <family val="2"/>
      </rPr>
      <t xml:space="preserve"> </t>
    </r>
  </si>
  <si>
    <t>Social Audit was not conducted during 2019-20</t>
  </si>
  <si>
    <t xml:space="preserve">State / UT: TELANGANA </t>
  </si>
  <si>
    <t>Allocation for  2019-20</t>
  </si>
  <si>
    <t>Opening Balance as on 01.04.19</t>
  </si>
  <si>
    <t>Vikarabad, Khammam, Civil Suplies</t>
  </si>
  <si>
    <t>June, 2019, July,2019, August, 2019</t>
  </si>
  <si>
    <t>Medchal, Khammam, Rangareddy, Vikarabad, Wanaparthy</t>
  </si>
  <si>
    <t>April, July, September, December 2019</t>
  </si>
  <si>
    <t>Nalgonda, Mahabubnagar</t>
  </si>
  <si>
    <t>June, 2019, July, 2019</t>
  </si>
  <si>
    <t>Hyderabad, Suryapet, Nalgonda, Rangareddy, Sangareddy, Kamareddy, Bhadradri, Medchal, Karimnagar, Khammam, Siddipet, Rajanna Siricilla</t>
  </si>
  <si>
    <t>Medak, Adilabad, Jagtial</t>
  </si>
  <si>
    <t>June, November, 2019</t>
  </si>
  <si>
    <t>June, July, August, September, November - 2019</t>
  </si>
  <si>
    <t>Medchal, Mancherail</t>
  </si>
  <si>
    <t>June, July, 2019</t>
  </si>
  <si>
    <t>Warangal (U)</t>
  </si>
  <si>
    <t>Kumrambheem</t>
  </si>
  <si>
    <t>Mahabubnagar, Vikarabad, Kamareddy</t>
  </si>
  <si>
    <t>July, 2019, January, 2020</t>
  </si>
  <si>
    <t>23.05.2019</t>
  </si>
  <si>
    <t>18.09.2019</t>
  </si>
  <si>
    <t>24.09.2019</t>
  </si>
  <si>
    <t>03.10.2019</t>
  </si>
  <si>
    <t>04.01.2020</t>
  </si>
  <si>
    <t>Zero enrolment</t>
  </si>
  <si>
    <t>(02) Dishaa Meeting Conducted
(01.10.2019 &amp; 18.02.2020)</t>
  </si>
  <si>
    <t>17-not willing</t>
  </si>
  <si>
    <t>Not willing</t>
  </si>
  <si>
    <t>40-not willing</t>
  </si>
  <si>
    <t>Opening balance as on 01.04.19</t>
  </si>
  <si>
    <t>MANNA TRUST</t>
  </si>
  <si>
    <t>Akshayapatra</t>
  </si>
  <si>
    <t>Mahabubnagar</t>
  </si>
  <si>
    <t>1004- zero enrolment schools</t>
  </si>
  <si>
    <t>The budget was not utilized due to fack end of financial year and lock down. The same will be utilized and kitchen devices will be procured during 2020-21.</t>
  </si>
  <si>
    <t>13.12.2019</t>
  </si>
  <si>
    <t>7080 Kitchen-cum-stores are constructing with the convergence of MGNREGS</t>
  </si>
  <si>
    <t>Table: AT- 10 E</t>
  </si>
  <si>
    <t>Table AT-10 E: Information on Kitchen Gardens</t>
  </si>
  <si>
    <t xml:space="preserve">State / UT: 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</si>
  <si>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</si>
  <si>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</si>
  <si>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</si>
  <si>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</si>
  <si>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2020-21</t>
  </si>
  <si>
    <t>Name of the Krishi Vigyan Kendra (KVK)</t>
  </si>
  <si>
    <t>For Commissioner, School Education</t>
  </si>
  <si>
    <t xml:space="preserve"> For Commissioner, School Education</t>
  </si>
  <si>
    <t>Special Training Centers : Special Training Centre under SSA, Education Gaurantee Scheme center, Alternative and Innovative Education and NCLP schools  of Labour Department</t>
  </si>
  <si>
    <t>Special Training Centers : Special Training Centre under SSA, Education Gaurantee Scheme center, Alternative and Innovative Education and NCLP schools  of Labour Department.</t>
  </si>
</sst>
</file>

<file path=xl/styles.xml><?xml version="1.0" encoding="utf-8"?>
<styleSheet xmlns="http://schemas.openxmlformats.org/spreadsheetml/2006/main"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i/>
      <u/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"/>
      <family val="2"/>
    </font>
    <font>
      <sz val="11"/>
      <color theme="1"/>
      <name val="Arial"/>
      <family val="2"/>
    </font>
    <font>
      <sz val="45"/>
      <name val="Arial"/>
      <family val="2"/>
    </font>
    <font>
      <b/>
      <sz val="40"/>
      <name val="Arial"/>
      <family val="2"/>
    </font>
    <font>
      <b/>
      <i/>
      <sz val="40"/>
      <color theme="1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55"/>
      <name val="Arial"/>
      <family val="2"/>
    </font>
    <font>
      <b/>
      <sz val="45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4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7030A0"/>
      <name val="Arial"/>
      <family val="2"/>
    </font>
    <font>
      <sz val="9"/>
      <color rgb="FFFF0000"/>
      <name val="Arial"/>
      <family val="2"/>
    </font>
    <font>
      <b/>
      <sz val="36"/>
      <color indexed="8"/>
      <name val="Arial"/>
      <family val="2"/>
    </font>
    <font>
      <sz val="6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147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>
      <alignment horizontal="right"/>
    </xf>
    <xf numFmtId="0" fontId="8" fillId="0" borderId="2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8" fillId="0" borderId="5" xfId="0" applyFont="1" applyBorder="1"/>
    <xf numFmtId="0" fontId="8" fillId="0" borderId="6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1" fillId="0" borderId="2" xfId="0" applyFont="1" applyBorder="1" applyAlignment="1">
      <alignment horizontal="center" vertical="top" wrapText="1"/>
    </xf>
    <xf numFmtId="0" fontId="11" fillId="0" borderId="0" xfId="0" applyFont="1"/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18" fillId="0" borderId="0" xfId="0" applyFont="1"/>
    <xf numFmtId="0" fontId="8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21" fillId="0" borderId="0" xfId="1" applyFont="1" applyAlignment="1">
      <alignment horizontal="left"/>
    </xf>
    <xf numFmtId="0" fontId="8" fillId="0" borderId="0" xfId="2"/>
    <xf numFmtId="0" fontId="1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/>
    <xf numFmtId="0" fontId="3" fillId="0" borderId="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/>
    </xf>
    <xf numFmtId="0" fontId="3" fillId="0" borderId="0" xfId="2" applyFont="1"/>
    <xf numFmtId="0" fontId="4" fillId="0" borderId="0" xfId="2" applyFont="1" applyAlignment="1"/>
    <xf numFmtId="0" fontId="18" fillId="0" borderId="7" xfId="0" applyFont="1" applyBorder="1" applyAlignment="1"/>
    <xf numFmtId="0" fontId="8" fillId="0" borderId="8" xfId="0" applyFont="1" applyBorder="1"/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2" xfId="1" applyFont="1" applyBorder="1" applyAlignment="1"/>
    <xf numFmtId="0" fontId="19" fillId="0" borderId="0" xfId="1" applyFont="1" applyBorder="1"/>
    <xf numFmtId="0" fontId="3" fillId="0" borderId="10" xfId="0" applyFont="1" applyFill="1" applyBorder="1" applyAlignment="1">
      <alignment horizontal="center" vertical="top" wrapText="1"/>
    </xf>
    <xf numFmtId="0" fontId="18" fillId="0" borderId="0" xfId="0" applyFont="1" applyBorder="1" applyAlignment="1"/>
    <xf numFmtId="0" fontId="11" fillId="0" borderId="0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2" applyFont="1" applyBorder="1"/>
    <xf numFmtId="0" fontId="7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7" fillId="0" borderId="2" xfId="0" applyFont="1" applyBorder="1"/>
    <xf numFmtId="0" fontId="12" fillId="0" borderId="0" xfId="2" applyFont="1" applyAlignment="1"/>
    <xf numFmtId="0" fontId="3" fillId="0" borderId="10" xfId="2" applyFont="1" applyFill="1" applyBorder="1" applyAlignment="1">
      <alignment horizontal="center" vertical="top" wrapText="1"/>
    </xf>
    <xf numFmtId="0" fontId="8" fillId="0" borderId="0" xfId="1" applyFont="1"/>
    <xf numFmtId="0" fontId="10" fillId="0" borderId="0" xfId="1" applyFont="1"/>
    <xf numFmtId="0" fontId="3" fillId="0" borderId="2" xfId="1" applyFont="1" applyBorder="1"/>
    <xf numFmtId="0" fontId="18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26" fillId="0" borderId="3" xfId="1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wrapText="1"/>
    </xf>
    <xf numFmtId="0" fontId="27" fillId="0" borderId="1" xfId="1" applyFont="1" applyBorder="1" applyAlignment="1">
      <alignment horizontal="center"/>
    </xf>
    <xf numFmtId="0" fontId="3" fillId="0" borderId="11" xfId="2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8" fillId="0" borderId="2" xfId="2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/>
    </xf>
    <xf numFmtId="0" fontId="18" fillId="0" borderId="2" xfId="2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3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 wrapText="1"/>
    </xf>
    <xf numFmtId="0" fontId="7" fillId="0" borderId="0" xfId="3" applyFont="1" applyAlignment="1"/>
    <xf numFmtId="0" fontId="13" fillId="0" borderId="0" xfId="3" applyFont="1" applyAlignment="1"/>
    <xf numFmtId="0" fontId="5" fillId="0" borderId="0" xfId="3" applyFont="1"/>
    <xf numFmtId="0" fontId="18" fillId="0" borderId="2" xfId="3" applyFont="1" applyBorder="1" applyAlignment="1">
      <alignment horizontal="center" vertical="top" wrapText="1"/>
    </xf>
    <xf numFmtId="0" fontId="18" fillId="0" borderId="0" xfId="3" applyFont="1"/>
    <xf numFmtId="0" fontId="18" fillId="0" borderId="2" xfId="3" applyFont="1" applyBorder="1"/>
    <xf numFmtId="0" fontId="18" fillId="0" borderId="0" xfId="3" applyFont="1" applyBorder="1"/>
    <xf numFmtId="0" fontId="3" fillId="0" borderId="0" xfId="3" applyFont="1"/>
    <xf numFmtId="0" fontId="18" fillId="0" borderId="2" xfId="3" applyFont="1" applyBorder="1" applyAlignment="1">
      <alignment horizontal="center"/>
    </xf>
    <xf numFmtId="0" fontId="3" fillId="0" borderId="2" xfId="3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left" wrapText="1"/>
    </xf>
    <xf numFmtId="0" fontId="8" fillId="0" borderId="0" xfId="4"/>
    <xf numFmtId="0" fontId="4" fillId="0" borderId="0" xfId="4" applyFont="1" applyAlignment="1">
      <alignment horizontal="right"/>
    </xf>
    <xf numFmtId="0" fontId="5" fillId="0" borderId="0" xfId="4" applyFont="1" applyAlignment="1">
      <alignment horizontal="right"/>
    </xf>
    <xf numFmtId="0" fontId="16" fillId="0" borderId="2" xfId="4" applyFont="1" applyBorder="1" applyAlignment="1">
      <alignment horizontal="center" vertical="top" wrapText="1"/>
    </xf>
    <xf numFmtId="0" fontId="16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top" wrapText="1"/>
    </xf>
    <xf numFmtId="0" fontId="14" fillId="0" borderId="2" xfId="4" applyFont="1" applyBorder="1" applyAlignment="1">
      <alignment horizontal="center" vertical="top" wrapText="1"/>
    </xf>
    <xf numFmtId="0" fontId="14" fillId="0" borderId="0" xfId="4" applyFont="1" applyAlignment="1">
      <alignment horizontal="left"/>
    </xf>
    <xf numFmtId="0" fontId="3" fillId="0" borderId="0" xfId="1" applyFont="1"/>
    <xf numFmtId="0" fontId="18" fillId="0" borderId="0" xfId="1" applyFont="1" applyAlignment="1">
      <alignment horizontal="left"/>
    </xf>
    <xf numFmtId="0" fontId="7" fillId="0" borderId="0" xfId="1" applyFont="1"/>
    <xf numFmtId="0" fontId="3" fillId="0" borderId="0" xfId="1" applyFont="1" applyAlignment="1"/>
    <xf numFmtId="0" fontId="3" fillId="0" borderId="0" xfId="1" applyFont="1" applyBorder="1" applyAlignment="1"/>
    <xf numFmtId="0" fontId="3" fillId="0" borderId="0" xfId="1" applyFont="1" applyBorder="1"/>
    <xf numFmtId="0" fontId="3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left"/>
    </xf>
    <xf numFmtId="0" fontId="14" fillId="0" borderId="0" xfId="1" applyFont="1" applyBorder="1" applyAlignment="1"/>
    <xf numFmtId="0" fontId="3" fillId="0" borderId="0" xfId="1" applyFont="1" applyAlignment="1">
      <alignment vertical="top" wrapText="1"/>
    </xf>
    <xf numFmtId="0" fontId="16" fillId="0" borderId="0" xfId="1" applyFont="1" applyBorder="1" applyAlignment="1">
      <alignment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3" fillId="0" borderId="2" xfId="2" applyFont="1" applyFill="1" applyBorder="1" applyAlignment="1">
      <alignment horizontal="left" vertical="center" wrapText="1"/>
    </xf>
    <xf numFmtId="0" fontId="8" fillId="2" borderId="0" xfId="1" applyFont="1" applyFill="1"/>
    <xf numFmtId="0" fontId="18" fillId="2" borderId="2" xfId="1" applyFont="1" applyFill="1" applyBorder="1" applyAlignment="1">
      <alignment horizontal="center"/>
    </xf>
    <xf numFmtId="0" fontId="8" fillId="2" borderId="0" xfId="0" applyFont="1" applyFill="1"/>
    <xf numFmtId="0" fontId="8" fillId="2" borderId="2" xfId="0" applyFont="1" applyFill="1" applyBorder="1"/>
    <xf numFmtId="0" fontId="3" fillId="2" borderId="0" xfId="0" applyFont="1" applyFill="1"/>
    <xf numFmtId="0" fontId="3" fillId="0" borderId="0" xfId="2" applyFont="1" applyAlignment="1"/>
    <xf numFmtId="0" fontId="18" fillId="0" borderId="0" xfId="2" applyFont="1" applyAlignment="1">
      <alignment horizontal="right"/>
    </xf>
    <xf numFmtId="0" fontId="11" fillId="2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0" xfId="5" applyFont="1"/>
    <xf numFmtId="0" fontId="3" fillId="0" borderId="2" xfId="0" applyFont="1" applyBorder="1" applyAlignment="1">
      <alignment horizontal="center" vertical="top" wrapText="1"/>
    </xf>
    <xf numFmtId="0" fontId="15" fillId="0" borderId="0" xfId="2" applyFont="1" applyAlignment="1">
      <alignment horizontal="left"/>
    </xf>
    <xf numFmtId="0" fontId="8" fillId="0" borderId="2" xfId="2" applyFont="1" applyBorder="1"/>
    <xf numFmtId="0" fontId="8" fillId="0" borderId="0" xfId="2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16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2" xfId="0" quotePrefix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6" fillId="0" borderId="0" xfId="2" applyFont="1" applyAlignment="1">
      <alignment horizontal="center"/>
    </xf>
    <xf numFmtId="0" fontId="3" fillId="0" borderId="0" xfId="1" applyFont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5" applyFont="1" applyAlignment="1">
      <alignment horizontal="center" vertical="top" wrapText="1"/>
    </xf>
    <xf numFmtId="0" fontId="8" fillId="0" borderId="0" xfId="0" applyFont="1"/>
    <xf numFmtId="0" fontId="3" fillId="0" borderId="0" xfId="0" applyFont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" fillId="0" borderId="2" xfId="1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1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18" fillId="0" borderId="5" xfId="3" applyFont="1" applyBorder="1" applyAlignment="1">
      <alignment horizontal="center" vertical="top" wrapText="1"/>
    </xf>
    <xf numFmtId="0" fontId="18" fillId="0" borderId="9" xfId="3" applyFont="1" applyBorder="1" applyAlignment="1">
      <alignment horizontal="center" vertical="top" wrapText="1"/>
    </xf>
    <xf numFmtId="0" fontId="18" fillId="0" borderId="6" xfId="3" applyFont="1" applyBorder="1" applyAlignment="1">
      <alignment horizontal="center" vertical="top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8" fillId="0" borderId="0" xfId="2" applyFont="1"/>
    <xf numFmtId="0" fontId="3" fillId="2" borderId="2" xfId="0" applyFont="1" applyFill="1" applyBorder="1"/>
    <xf numFmtId="0" fontId="8" fillId="2" borderId="2" xfId="0" applyFont="1" applyFill="1" applyBorder="1" applyAlignment="1"/>
    <xf numFmtId="0" fontId="3" fillId="0" borderId="2" xfId="5" applyFont="1" applyBorder="1"/>
    <xf numFmtId="0" fontId="37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8" fillId="0" borderId="2" xfId="0" quotePrefix="1" applyFont="1" applyBorder="1" applyAlignment="1">
      <alignment horizontal="center" vertical="top" wrapText="1"/>
    </xf>
    <xf numFmtId="0" fontId="38" fillId="0" borderId="0" xfId="0" applyFont="1"/>
    <xf numFmtId="0" fontId="8" fillId="0" borderId="4" xfId="0" applyFont="1" applyBorder="1"/>
    <xf numFmtId="0" fontId="41" fillId="0" borderId="0" xfId="0" applyFont="1" applyBorder="1" applyAlignment="1">
      <alignment vertical="top"/>
    </xf>
    <xf numFmtId="0" fontId="37" fillId="0" borderId="2" xfId="0" applyFont="1" applyBorder="1" applyAlignment="1">
      <alignment horizontal="center"/>
    </xf>
    <xf numFmtId="0" fontId="43" fillId="0" borderId="2" xfId="0" applyFont="1" applyBorder="1" applyAlignment="1">
      <alignment horizontal="center" vertical="center" wrapText="1"/>
    </xf>
    <xf numFmtId="0" fontId="39" fillId="0" borderId="0" xfId="0" applyFont="1" applyAlignment="1"/>
    <xf numFmtId="0" fontId="42" fillId="2" borderId="2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18" fillId="2" borderId="2" xfId="0" quotePrefix="1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/>
    </xf>
    <xf numFmtId="0" fontId="8" fillId="0" borderId="0" xfId="2" applyFont="1" applyAlignment="1">
      <alignment horizontal="left"/>
    </xf>
    <xf numFmtId="0" fontId="42" fillId="0" borderId="2" xfId="0" applyFont="1" applyBorder="1" applyAlignment="1">
      <alignment vertical="top" wrapText="1"/>
    </xf>
    <xf numFmtId="0" fontId="42" fillId="0" borderId="2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/>
    </xf>
    <xf numFmtId="0" fontId="46" fillId="0" borderId="2" xfId="0" applyFont="1" applyBorder="1" applyAlignment="1">
      <alignment vertical="top" wrapText="1"/>
    </xf>
    <xf numFmtId="0" fontId="46" fillId="0" borderId="2" xfId="0" applyFont="1" applyBorder="1" applyAlignment="1">
      <alignment horizontal="center" vertical="top" wrapText="1"/>
    </xf>
    <xf numFmtId="0" fontId="42" fillId="0" borderId="0" xfId="0" applyFont="1"/>
    <xf numFmtId="0" fontId="45" fillId="0" borderId="2" xfId="0" applyFont="1" applyBorder="1" applyAlignment="1">
      <alignment vertical="center" wrapText="1"/>
    </xf>
    <xf numFmtId="0" fontId="45" fillId="0" borderId="2" xfId="0" applyFont="1" applyBorder="1" applyAlignment="1">
      <alignment horizontal="left" vertical="center" wrapText="1" indent="2"/>
    </xf>
    <xf numFmtId="0" fontId="45" fillId="0" borderId="0" xfId="0" applyFont="1" applyBorder="1" applyAlignment="1">
      <alignment horizontal="left" vertical="center" wrapText="1" indent="2"/>
    </xf>
    <xf numFmtId="0" fontId="45" fillId="0" borderId="0" xfId="0" applyFont="1" applyBorder="1" applyAlignment="1">
      <alignment vertical="center" wrapText="1"/>
    </xf>
    <xf numFmtId="0" fontId="42" fillId="0" borderId="5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center" wrapText="1"/>
    </xf>
    <xf numFmtId="0" fontId="48" fillId="0" borderId="0" xfId="1" applyFont="1"/>
    <xf numFmtId="0" fontId="48" fillId="0" borderId="0" xfId="1" applyFont="1" applyAlignment="1">
      <alignment horizontal="left"/>
    </xf>
    <xf numFmtId="0" fontId="48" fillId="0" borderId="7" xfId="1" applyFont="1" applyBorder="1" applyAlignment="1">
      <alignment horizontal="center"/>
    </xf>
    <xf numFmtId="0" fontId="20" fillId="0" borderId="0" xfId="1" applyFont="1"/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48" fillId="0" borderId="2" xfId="1" applyFont="1" applyBorder="1"/>
    <xf numFmtId="0" fontId="48" fillId="0" borderId="0" xfId="1" applyFont="1" applyBorder="1"/>
    <xf numFmtId="0" fontId="20" fillId="0" borderId="0" xfId="1" applyFont="1" applyBorder="1" applyAlignment="1">
      <alignment horizontal="left"/>
    </xf>
    <xf numFmtId="0" fontId="27" fillId="0" borderId="0" xfId="1" applyFont="1"/>
    <xf numFmtId="0" fontId="20" fillId="0" borderId="0" xfId="1" applyFont="1" applyAlignment="1">
      <alignment horizontal="center" vertical="top" wrapText="1"/>
    </xf>
    <xf numFmtId="0" fontId="20" fillId="0" borderId="2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8" fillId="0" borderId="0" xfId="0" quotePrefix="1" applyFont="1" applyBorder="1" applyAlignment="1">
      <alignment horizontal="center" vertical="top" wrapText="1"/>
    </xf>
    <xf numFmtId="0" fontId="8" fillId="0" borderId="0" xfId="3" applyFont="1"/>
    <xf numFmtId="0" fontId="8" fillId="0" borderId="2" xfId="3" applyFont="1" applyBorder="1"/>
    <xf numFmtId="0" fontId="8" fillId="0" borderId="0" xfId="3" applyFont="1" applyFill="1" applyBorder="1" applyAlignment="1">
      <alignment horizontal="left"/>
    </xf>
    <xf numFmtId="2" fontId="54" fillId="0" borderId="2" xfId="0" applyNumberFormat="1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right" vertical="center"/>
    </xf>
    <xf numFmtId="2" fontId="3" fillId="0" borderId="0" xfId="1" applyNumberFormat="1" applyFont="1"/>
    <xf numFmtId="0" fontId="16" fillId="0" borderId="2" xfId="4" applyFont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/>
    <xf numFmtId="0" fontId="53" fillId="2" borderId="2" xfId="1" quotePrefix="1" applyFont="1" applyFill="1" applyBorder="1" applyAlignment="1">
      <alignment horizontal="center" vertical="center" wrapText="1"/>
    </xf>
    <xf numFmtId="0" fontId="56" fillId="2" borderId="3" xfId="1" quotePrefix="1" applyFont="1" applyFill="1" applyBorder="1" applyAlignment="1">
      <alignment horizontal="center" vertical="center" wrapText="1"/>
    </xf>
    <xf numFmtId="0" fontId="53" fillId="0" borderId="2" xfId="1" applyFont="1" applyBorder="1" applyAlignment="1">
      <alignment horizontal="center" vertical="center"/>
    </xf>
    <xf numFmtId="0" fontId="53" fillId="0" borderId="2" xfId="1" applyFont="1" applyBorder="1" applyAlignment="1">
      <alignment horizontal="left" vertical="center"/>
    </xf>
    <xf numFmtId="0" fontId="53" fillId="0" borderId="2" xfId="1" applyFont="1" applyBorder="1"/>
    <xf numFmtId="0" fontId="53" fillId="0" borderId="2" xfId="1" applyFont="1" applyBorder="1" applyAlignment="1">
      <alignment horizontal="left"/>
    </xf>
    <xf numFmtId="0" fontId="53" fillId="0" borderId="2" xfId="1" applyFont="1" applyBorder="1" applyAlignment="1">
      <alignment horizontal="center"/>
    </xf>
    <xf numFmtId="0" fontId="53" fillId="0" borderId="2" xfId="1" applyFont="1" applyBorder="1" applyAlignment="1"/>
    <xf numFmtId="0" fontId="52" fillId="0" borderId="2" xfId="1" applyFont="1" applyBorder="1" applyAlignment="1">
      <alignment horizontal="center"/>
    </xf>
    <xf numFmtId="0" fontId="52" fillId="0" borderId="2" xfId="1" applyFont="1" applyBorder="1"/>
    <xf numFmtId="0" fontId="53" fillId="0" borderId="0" xfId="1" applyFont="1" applyBorder="1"/>
    <xf numFmtId="0" fontId="53" fillId="0" borderId="0" xfId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/>
    </xf>
    <xf numFmtId="14" fontId="14" fillId="0" borderId="2" xfId="4" applyNumberFormat="1" applyFont="1" applyBorder="1" applyAlignment="1">
      <alignment horizontal="center" vertical="top" wrapText="1"/>
    </xf>
    <xf numFmtId="2" fontId="14" fillId="0" borderId="2" xfId="4" applyNumberFormat="1" applyFont="1" applyBorder="1" applyAlignment="1">
      <alignment horizontal="right" vertical="top" wrapText="1"/>
    </xf>
    <xf numFmtId="2" fontId="14" fillId="0" borderId="2" xfId="4" applyNumberFormat="1" applyFont="1" applyBorder="1" applyAlignment="1">
      <alignment horizontal="right" vertical="center" wrapText="1"/>
    </xf>
    <xf numFmtId="0" fontId="14" fillId="0" borderId="2" xfId="4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14" fillId="0" borderId="0" xfId="4" applyFont="1" applyAlignment="1">
      <alignment horizontal="left"/>
    </xf>
    <xf numFmtId="0" fontId="16" fillId="0" borderId="2" xfId="4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8" fillId="0" borderId="2" xfId="0" quotePrefix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0" xfId="0" quotePrefix="1" applyFont="1" applyBorder="1" applyAlignment="1">
      <alignment horizontal="center" vertical="top" wrapText="1"/>
    </xf>
    <xf numFmtId="0" fontId="53" fillId="0" borderId="0" xfId="1" applyFont="1"/>
    <xf numFmtId="0" fontId="52" fillId="0" borderId="0" xfId="0" applyFont="1"/>
    <xf numFmtId="0" fontId="53" fillId="0" borderId="0" xfId="0" applyFont="1" applyAlignment="1"/>
    <xf numFmtId="0" fontId="8" fillId="0" borderId="0" xfId="0" applyFont="1" applyFill="1"/>
    <xf numFmtId="2" fontId="3" fillId="0" borderId="2" xfId="0" applyNumberFormat="1" applyFont="1" applyBorder="1" applyAlignment="1">
      <alignment horizontal="right"/>
    </xf>
    <xf numFmtId="0" fontId="16" fillId="0" borderId="1" xfId="4" applyFont="1" applyBorder="1" applyAlignment="1">
      <alignment horizontal="center" vertical="top" wrapText="1"/>
    </xf>
    <xf numFmtId="0" fontId="13" fillId="0" borderId="6" xfId="4" applyFont="1" applyBorder="1" applyAlignment="1">
      <alignment horizontal="left" vertical="top" wrapText="1"/>
    </xf>
    <xf numFmtId="0" fontId="16" fillId="0" borderId="2" xfId="4" applyFont="1" applyBorder="1" applyAlignment="1">
      <alignment horizontal="left" vertical="center" wrapText="1"/>
    </xf>
    <xf numFmtId="0" fontId="7" fillId="0" borderId="5" xfId="4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 wrapText="1"/>
    </xf>
    <xf numFmtId="0" fontId="3" fillId="0" borderId="2" xfId="2" applyFont="1" applyBorder="1"/>
    <xf numFmtId="0" fontId="42" fillId="0" borderId="0" xfId="1" applyFont="1"/>
    <xf numFmtId="0" fontId="20" fillId="0" borderId="2" xfId="1" applyFont="1" applyBorder="1"/>
    <xf numFmtId="0" fontId="8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2" borderId="11" xfId="0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right" vertical="top" wrapText="1"/>
    </xf>
    <xf numFmtId="2" fontId="8" fillId="0" borderId="2" xfId="0" applyNumberFormat="1" applyFont="1" applyBorder="1"/>
    <xf numFmtId="2" fontId="3" fillId="0" borderId="2" xfId="0" applyNumberFormat="1" applyFont="1" applyBorder="1"/>
    <xf numFmtId="2" fontId="8" fillId="0" borderId="2" xfId="1" applyNumberFormat="1" applyFont="1" applyBorder="1" applyAlignment="1">
      <alignment horizontal="right"/>
    </xf>
    <xf numFmtId="2" fontId="8" fillId="2" borderId="2" xfId="1" applyNumberFormat="1" applyFont="1" applyFill="1" applyBorder="1" applyAlignment="1">
      <alignment horizontal="right"/>
    </xf>
    <xf numFmtId="2" fontId="3" fillId="0" borderId="2" xfId="1" applyNumberFormat="1" applyFont="1" applyBorder="1"/>
    <xf numFmtId="2" fontId="8" fillId="0" borderId="2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/>
    </xf>
    <xf numFmtId="0" fontId="8" fillId="0" borderId="2" xfId="0" quotePrefix="1" applyFont="1" applyBorder="1" applyAlignment="1">
      <alignment horizontal="right" vertical="top" wrapText="1"/>
    </xf>
    <xf numFmtId="0" fontId="8" fillId="0" borderId="2" xfId="1" applyFont="1" applyBorder="1" applyAlignment="1">
      <alignment vertical="top" wrapText="1"/>
    </xf>
    <xf numFmtId="0" fontId="8" fillId="0" borderId="2" xfId="2" applyFont="1" applyBorder="1" applyAlignment="1">
      <alignment horizontal="right" vertical="top" wrapText="1"/>
    </xf>
    <xf numFmtId="0" fontId="8" fillId="0" borderId="5" xfId="2" applyFont="1" applyBorder="1" applyAlignment="1">
      <alignment horizontal="right" vertical="top" wrapText="1"/>
    </xf>
    <xf numFmtId="0" fontId="8" fillId="0" borderId="4" xfId="2" applyFont="1" applyBorder="1" applyAlignment="1">
      <alignment horizontal="right" vertical="top" wrapText="1"/>
    </xf>
    <xf numFmtId="0" fontId="8" fillId="0" borderId="2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3" fillId="2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  <xf numFmtId="2" fontId="8" fillId="2" borderId="2" xfId="0" applyNumberFormat="1" applyFont="1" applyFill="1" applyBorder="1" applyAlignment="1">
      <alignment horizontal="right" vertical="top" wrapText="1"/>
    </xf>
    <xf numFmtId="2" fontId="3" fillId="2" borderId="2" xfId="0" applyNumberFormat="1" applyFont="1" applyFill="1" applyBorder="1"/>
    <xf numFmtId="2" fontId="8" fillId="0" borderId="2" xfId="3" applyNumberFormat="1" applyFont="1" applyBorder="1"/>
    <xf numFmtId="2" fontId="3" fillId="0" borderId="2" xfId="3" applyNumberFormat="1" applyFont="1" applyBorder="1"/>
    <xf numFmtId="0" fontId="60" fillId="0" borderId="0" xfId="0" applyFont="1"/>
    <xf numFmtId="0" fontId="60" fillId="0" borderId="0" xfId="1" applyFont="1"/>
    <xf numFmtId="0" fontId="60" fillId="2" borderId="0" xfId="1" applyFont="1" applyFill="1"/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wrapText="1"/>
    </xf>
    <xf numFmtId="0" fontId="61" fillId="0" borderId="0" xfId="0" applyFont="1"/>
    <xf numFmtId="2" fontId="61" fillId="0" borderId="0" xfId="0" applyNumberFormat="1" applyFont="1" applyBorder="1" applyAlignment="1">
      <alignment vertical="top"/>
    </xf>
    <xf numFmtId="2" fontId="61" fillId="0" borderId="0" xfId="0" applyNumberFormat="1" applyFont="1" applyBorder="1" applyAlignment="1">
      <alignment horizontal="left" wrapText="1"/>
    </xf>
    <xf numFmtId="2" fontId="61" fillId="0" borderId="0" xfId="0" applyNumberFormat="1" applyFont="1"/>
    <xf numFmtId="0" fontId="60" fillId="0" borderId="0" xfId="0" applyFont="1" applyBorder="1"/>
    <xf numFmtId="0" fontId="60" fillId="0" borderId="0" xfId="0" applyFont="1" applyAlignment="1">
      <alignment vertical="top" wrapText="1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top" wrapText="1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3" fillId="0" borderId="2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7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8" fillId="0" borderId="0" xfId="0" applyFont="1"/>
    <xf numFmtId="0" fontId="13" fillId="0" borderId="0" xfId="0" applyFont="1" applyFill="1"/>
    <xf numFmtId="0" fontId="3" fillId="0" borderId="0" xfId="0" applyFont="1" applyFill="1"/>
    <xf numFmtId="1" fontId="8" fillId="0" borderId="6" xfId="0" applyNumberFormat="1" applyFont="1" applyBorder="1"/>
    <xf numFmtId="1" fontId="3" fillId="0" borderId="2" xfId="0" applyNumberFormat="1" applyFont="1" applyBorder="1"/>
    <xf numFmtId="2" fontId="8" fillId="0" borderId="0" xfId="0" applyNumberFormat="1" applyFont="1"/>
    <xf numFmtId="0" fontId="8" fillId="0" borderId="10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right"/>
    </xf>
    <xf numFmtId="0" fontId="3" fillId="0" borderId="2" xfId="1" applyFont="1" applyBorder="1" applyAlignment="1">
      <alignment horizontal="right" vertical="top" wrapText="1"/>
    </xf>
    <xf numFmtId="1" fontId="8" fillId="2" borderId="2" xfId="0" applyNumberFormat="1" applyFont="1" applyFill="1" applyBorder="1"/>
    <xf numFmtId="0" fontId="8" fillId="2" borderId="2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right"/>
    </xf>
    <xf numFmtId="9" fontId="8" fillId="0" borderId="0" xfId="0" applyNumberFormat="1" applyFont="1"/>
    <xf numFmtId="0" fontId="8" fillId="0" borderId="0" xfId="0" applyFont="1" applyFill="1" applyBorder="1"/>
    <xf numFmtId="0" fontId="3" fillId="0" borderId="0" xfId="5" applyFont="1" applyFill="1" applyBorder="1"/>
    <xf numFmtId="0" fontId="8" fillId="0" borderId="0" xfId="0" applyFont="1" applyAlignment="1"/>
    <xf numFmtId="0" fontId="8" fillId="0" borderId="2" xfId="2" applyBorder="1"/>
    <xf numFmtId="0" fontId="8" fillId="0" borderId="0" xfId="0" applyFont="1"/>
    <xf numFmtId="0" fontId="18" fillId="0" borderId="7" xfId="0" applyFont="1" applyBorder="1" applyAlignment="1">
      <alignment horizontal="center"/>
    </xf>
    <xf numFmtId="0" fontId="8" fillId="0" borderId="0" xfId="0" applyFont="1"/>
    <xf numFmtId="1" fontId="8" fillId="0" borderId="6" xfId="0" applyNumberFormat="1" applyFont="1" applyBorder="1" applyAlignment="1">
      <alignment vertical="top" wrapText="1"/>
    </xf>
    <xf numFmtId="2" fontId="18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0" xfId="0" applyFont="1" applyFill="1" applyBorder="1"/>
    <xf numFmtId="0" fontId="16" fillId="0" borderId="5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left" vertical="center" wrapText="1"/>
    </xf>
    <xf numFmtId="14" fontId="14" fillId="0" borderId="2" xfId="4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2" fontId="8" fillId="0" borderId="0" xfId="1" applyNumberFormat="1" applyFont="1"/>
    <xf numFmtId="2" fontId="8" fillId="0" borderId="0" xfId="0" applyNumberFormat="1" applyFont="1" applyBorder="1"/>
    <xf numFmtId="0" fontId="3" fillId="0" borderId="2" xfId="0" applyFont="1" applyBorder="1" applyAlignment="1">
      <alignment horizontal="right" vertical="top" wrapText="1"/>
    </xf>
    <xf numFmtId="0" fontId="36" fillId="0" borderId="2" xfId="0" applyFont="1" applyBorder="1"/>
    <xf numFmtId="0" fontId="3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/>
    </xf>
    <xf numFmtId="14" fontId="14" fillId="0" borderId="2" xfId="4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44" fillId="0" borderId="2" xfId="0" applyFont="1" applyBorder="1" applyAlignment="1">
      <alignment wrapText="1"/>
    </xf>
    <xf numFmtId="0" fontId="20" fillId="0" borderId="2" xfId="1" applyFont="1" applyFill="1" applyBorder="1"/>
    <xf numFmtId="0" fontId="44" fillId="0" borderId="2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2" fontId="8" fillId="0" borderId="0" xfId="3" applyNumberFormat="1" applyFont="1"/>
    <xf numFmtId="0" fontId="8" fillId="0" borderId="2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/>
    </xf>
    <xf numFmtId="0" fontId="42" fillId="0" borderId="2" xfId="1" applyFont="1" applyFill="1" applyBorder="1"/>
    <xf numFmtId="0" fontId="42" fillId="0" borderId="0" xfId="1" applyFont="1" applyFill="1"/>
    <xf numFmtId="0" fontId="8" fillId="0" borderId="2" xfId="0" applyFont="1" applyFill="1" applyBorder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8" fillId="0" borderId="0" xfId="1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/>
    <xf numFmtId="0" fontId="3" fillId="0" borderId="2" xfId="2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2" applyFont="1"/>
    <xf numFmtId="1" fontId="8" fillId="0" borderId="2" xfId="0" applyNumberFormat="1" applyFont="1" applyBorder="1"/>
    <xf numFmtId="1" fontId="8" fillId="0" borderId="0" xfId="0" applyNumberFormat="1" applyFont="1" applyFill="1" applyBorder="1"/>
    <xf numFmtId="1" fontId="8" fillId="0" borderId="6" xfId="0" applyNumberFormat="1" applyFont="1" applyBorder="1" applyAlignment="1">
      <alignment horizontal="right" vertical="top" wrapText="1"/>
    </xf>
    <xf numFmtId="0" fontId="8" fillId="0" borderId="0" xfId="0" applyFont="1"/>
    <xf numFmtId="0" fontId="20" fillId="0" borderId="2" xfId="1" applyFont="1" applyBorder="1" applyAlignment="1">
      <alignment horizontal="center" vertical="top" wrapText="1"/>
    </xf>
    <xf numFmtId="2" fontId="16" fillId="0" borderId="2" xfId="4" applyNumberFormat="1" applyFont="1" applyBorder="1" applyAlignment="1">
      <alignment horizontal="center" vertical="top" wrapText="1"/>
    </xf>
    <xf numFmtId="2" fontId="14" fillId="0" borderId="2" xfId="4" applyNumberFormat="1" applyFont="1" applyBorder="1" applyAlignment="1">
      <alignment horizontal="center" vertical="top" wrapText="1"/>
    </xf>
    <xf numFmtId="0" fontId="48" fillId="0" borderId="0" xfId="1" applyFont="1" applyBorder="1" applyAlignment="1">
      <alignment horizontal="center"/>
    </xf>
    <xf numFmtId="0" fontId="21" fillId="0" borderId="2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/>
    </xf>
    <xf numFmtId="0" fontId="42" fillId="0" borderId="0" xfId="1" applyFont="1" applyBorder="1"/>
    <xf numFmtId="0" fontId="6" fillId="0" borderId="0" xfId="0" applyFont="1" applyAlignment="1"/>
    <xf numFmtId="2" fontId="8" fillId="0" borderId="10" xfId="0" applyNumberFormat="1" applyFont="1" applyFill="1" applyBorder="1"/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17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/>
    </xf>
    <xf numFmtId="0" fontId="3" fillId="0" borderId="0" xfId="1" applyFont="1" applyAlignment="1">
      <alignment vertical="center" wrapText="1"/>
    </xf>
    <xf numFmtId="0" fontId="3" fillId="0" borderId="0" xfId="5" applyFont="1" applyAlignment="1">
      <alignment vertical="center"/>
    </xf>
    <xf numFmtId="0" fontId="3" fillId="0" borderId="2" xfId="1" applyFont="1" applyBorder="1" applyAlignment="1"/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14" fillId="0" borderId="0" xfId="2" applyFont="1"/>
    <xf numFmtId="0" fontId="16" fillId="0" borderId="0" xfId="2" applyFont="1" applyAlignment="1">
      <alignment horizontal="center"/>
    </xf>
    <xf numFmtId="0" fontId="14" fillId="0" borderId="0" xfId="2" applyFont="1" applyAlignment="1">
      <alignment horizontal="center" vertical="top" wrapText="1"/>
    </xf>
    <xf numFmtId="0" fontId="17" fillId="0" borderId="0" xfId="2" applyFont="1" applyAlignment="1">
      <alignment horizontal="center" vertical="top" wrapText="1"/>
    </xf>
    <xf numFmtId="0" fontId="7" fillId="0" borderId="0" xfId="2" applyFont="1" applyAlignment="1"/>
    <xf numFmtId="0" fontId="14" fillId="0" borderId="0" xfId="2" applyFont="1" applyBorder="1"/>
    <xf numFmtId="0" fontId="16" fillId="0" borderId="2" xfId="2" applyFont="1" applyBorder="1" applyAlignment="1">
      <alignment horizontal="center" vertical="top" wrapText="1"/>
    </xf>
    <xf numFmtId="0" fontId="24" fillId="0" borderId="2" xfId="2" applyFont="1" applyBorder="1" applyAlignment="1">
      <alignment horizontal="center" vertical="top" wrapText="1"/>
    </xf>
    <xf numFmtId="0" fontId="25" fillId="0" borderId="0" xfId="2" applyFont="1" applyAlignment="1">
      <alignment vertical="top" wrapText="1"/>
    </xf>
    <xf numFmtId="0" fontId="1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vertical="top" wrapText="1"/>
    </xf>
    <xf numFmtId="0" fontId="14" fillId="0" borderId="2" xfId="2" applyFont="1" applyBorder="1"/>
    <xf numFmtId="0" fontId="14" fillId="0" borderId="0" xfId="2" applyFont="1" applyAlignment="1">
      <alignment vertical="top" wrapText="1"/>
    </xf>
    <xf numFmtId="0" fontId="16" fillId="0" borderId="2" xfId="2" applyFont="1" applyBorder="1" applyAlignment="1">
      <alignment vertical="top" wrapText="1"/>
    </xf>
    <xf numFmtId="0" fontId="16" fillId="0" borderId="2" xfId="2" applyFont="1" applyFill="1" applyBorder="1" applyAlignment="1">
      <alignment vertical="top" wrapText="1"/>
    </xf>
    <xf numFmtId="0" fontId="16" fillId="0" borderId="2" xfId="2" applyFont="1" applyBorder="1" applyAlignment="1">
      <alignment horizontal="right" vertical="top" wrapText="1"/>
    </xf>
    <xf numFmtId="0" fontId="14" fillId="0" borderId="0" xfId="2" applyFont="1" applyBorder="1" applyAlignment="1">
      <alignment vertical="top" wrapText="1"/>
    </xf>
    <xf numFmtId="0" fontId="16" fillId="0" borderId="0" xfId="2" applyFont="1" applyFill="1" applyBorder="1" applyAlignment="1">
      <alignment vertical="top" wrapText="1"/>
    </xf>
    <xf numFmtId="0" fontId="14" fillId="0" borderId="0" xfId="2" applyFont="1" applyBorder="1" applyAlignment="1">
      <alignment horizontal="center" vertical="top" wrapText="1"/>
    </xf>
    <xf numFmtId="0" fontId="16" fillId="0" borderId="0" xfId="2" applyFont="1"/>
    <xf numFmtId="0" fontId="4" fillId="0" borderId="0" xfId="2" applyFont="1" applyAlignment="1">
      <alignment horizontal="right"/>
    </xf>
    <xf numFmtId="0" fontId="7" fillId="0" borderId="7" xfId="2" applyFont="1" applyBorder="1" applyAlignment="1"/>
    <xf numFmtId="0" fontId="7" fillId="0" borderId="0" xfId="2" applyFont="1" applyBorder="1" applyAlignment="1"/>
    <xf numFmtId="0" fontId="14" fillId="0" borderId="2" xfId="2" applyFont="1" applyBorder="1" applyAlignment="1">
      <alignment horizontal="right"/>
    </xf>
    <xf numFmtId="0" fontId="7" fillId="0" borderId="0" xfId="2" applyFont="1" applyAlignment="1">
      <alignment vertical="center" wrapText="1"/>
    </xf>
    <xf numFmtId="0" fontId="3" fillId="0" borderId="2" xfId="0" applyFont="1" applyFill="1" applyBorder="1"/>
    <xf numFmtId="2" fontId="8" fillId="0" borderId="0" xfId="0" applyNumberFormat="1" applyFont="1" applyFill="1" applyBorder="1"/>
    <xf numFmtId="0" fontId="8" fillId="0" borderId="0" xfId="0" applyFont="1"/>
    <xf numFmtId="2" fontId="60" fillId="0" borderId="0" xfId="0" applyNumberFormat="1" applyFont="1"/>
    <xf numFmtId="2" fontId="8" fillId="0" borderId="2" xfId="0" applyNumberFormat="1" applyFont="1" applyFill="1" applyBorder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0" xfId="0" applyFont="1"/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1" fontId="8" fillId="0" borderId="2" xfId="0" quotePrefix="1" applyNumberFormat="1" applyFont="1" applyBorder="1" applyAlignment="1">
      <alignment horizontal="right" vertical="top" wrapText="1"/>
    </xf>
    <xf numFmtId="0" fontId="8" fillId="0" borderId="2" xfId="5" applyFont="1" applyBorder="1" applyAlignment="1">
      <alignment horizontal="right"/>
    </xf>
    <xf numFmtId="1" fontId="48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1" fontId="42" fillId="0" borderId="2" xfId="1" applyNumberFormat="1" applyFont="1" applyBorder="1"/>
    <xf numFmtId="2" fontId="42" fillId="0" borderId="2" xfId="1" applyNumberFormat="1" applyFont="1" applyBorder="1"/>
    <xf numFmtId="0" fontId="42" fillId="0" borderId="2" xfId="1" applyFont="1" applyBorder="1"/>
    <xf numFmtId="0" fontId="3" fillId="0" borderId="2" xfId="0" applyFont="1" applyBorder="1" applyAlignment="1">
      <alignment vertical="center"/>
    </xf>
    <xf numFmtId="0" fontId="48" fillId="0" borderId="2" xfId="1" applyFont="1" applyBorder="1" applyAlignment="1">
      <alignment horizontal="right"/>
    </xf>
    <xf numFmtId="0" fontId="42" fillId="0" borderId="2" xfId="1" applyFont="1" applyFill="1" applyBorder="1" applyAlignment="1">
      <alignment horizontal="right"/>
    </xf>
    <xf numFmtId="0" fontId="63" fillId="0" borderId="2" xfId="1" applyFont="1" applyBorder="1" applyAlignment="1">
      <alignment horizontal="right" vertical="top" wrapText="1"/>
    </xf>
    <xf numFmtId="0" fontId="63" fillId="0" borderId="2" xfId="1" applyFont="1" applyBorder="1" applyAlignment="1">
      <alignment vertical="top" wrapText="1"/>
    </xf>
    <xf numFmtId="0" fontId="0" fillId="0" borderId="2" xfId="0" applyBorder="1" applyAlignment="1">
      <alignment vertical="center"/>
    </xf>
    <xf numFmtId="0" fontId="22" fillId="0" borderId="0" xfId="1" applyFont="1" applyAlignment="1"/>
    <xf numFmtId="0" fontId="44" fillId="0" borderId="2" xfId="1" applyFont="1" applyBorder="1" applyAlignment="1"/>
    <xf numFmtId="0" fontId="3" fillId="2" borderId="5" xfId="0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0" xfId="0" applyFont="1"/>
    <xf numFmtId="0" fontId="3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0" xfId="2" applyFont="1"/>
    <xf numFmtId="0" fontId="3" fillId="0" borderId="2" xfId="0" applyFont="1" applyBorder="1" applyAlignment="1">
      <alignment horizontal="center"/>
    </xf>
    <xf numFmtId="0" fontId="8" fillId="0" borderId="0" xfId="0" applyFont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22" fillId="0" borderId="2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wrapText="1"/>
    </xf>
    <xf numFmtId="0" fontId="19" fillId="0" borderId="2" xfId="1" applyFont="1" applyFill="1" applyBorder="1"/>
    <xf numFmtId="1" fontId="19" fillId="0" borderId="0" xfId="1" applyNumberFormat="1" applyFont="1" applyBorder="1"/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6" xfId="0" applyFont="1" applyBorder="1"/>
    <xf numFmtId="0" fontId="3" fillId="0" borderId="2" xfId="0" applyFont="1" applyBorder="1"/>
    <xf numFmtId="0" fontId="3" fillId="0" borderId="2" xfId="2" applyFont="1" applyBorder="1" applyAlignment="1">
      <alignment horizontal="center"/>
    </xf>
    <xf numFmtId="0" fontId="8" fillId="0" borderId="2" xfId="2" applyBorder="1" applyAlignment="1">
      <alignment horizontal="center"/>
    </xf>
    <xf numFmtId="0" fontId="8" fillId="0" borderId="2" xfId="2" applyBorder="1"/>
    <xf numFmtId="0" fontId="8" fillId="0" borderId="8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2" applyFont="1" applyBorder="1"/>
    <xf numFmtId="0" fontId="8" fillId="0" borderId="0" xfId="2" applyAlignment="1">
      <alignment horizontal="center"/>
    </xf>
    <xf numFmtId="0" fontId="70" fillId="0" borderId="0" xfId="2" applyFont="1" applyAlignment="1">
      <alignment horizontal="center"/>
    </xf>
    <xf numFmtId="0" fontId="68" fillId="0" borderId="0" xfId="2" applyFont="1"/>
    <xf numFmtId="0" fontId="69" fillId="0" borderId="0" xfId="2" applyFont="1"/>
    <xf numFmtId="0" fontId="8" fillId="0" borderId="0" xfId="2" applyAlignment="1">
      <alignment horizontal="right"/>
    </xf>
    <xf numFmtId="0" fontId="4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8" fillId="0" borderId="2" xfId="2" applyBorder="1" applyAlignment="1">
      <alignment horizontal="center" vertical="center" wrapText="1"/>
    </xf>
    <xf numFmtId="0" fontId="8" fillId="2" borderId="2" xfId="2" applyFill="1" applyBorder="1" applyAlignment="1">
      <alignment horizontal="center" vertical="center" wrapText="1"/>
    </xf>
    <xf numFmtId="0" fontId="48" fillId="2" borderId="2" xfId="2" applyFont="1" applyFill="1" applyBorder="1" applyAlignment="1">
      <alignment horizontal="center" vertical="center" wrapText="1"/>
    </xf>
    <xf numFmtId="0" fontId="8" fillId="2" borderId="2" xfId="2" applyFill="1" applyBorder="1"/>
    <xf numFmtId="0" fontId="65" fillId="0" borderId="0" xfId="2" applyFont="1" applyAlignment="1">
      <alignment horizontal="center"/>
    </xf>
    <xf numFmtId="0" fontId="8" fillId="0" borderId="0" xfId="2" applyAlignment="1">
      <alignment vertical="center"/>
    </xf>
    <xf numFmtId="0" fontId="71" fillId="0" borderId="0" xfId="2" applyFont="1" applyAlignment="1">
      <alignment horizontal="left" vertical="center"/>
    </xf>
    <xf numFmtId="0" fontId="71" fillId="0" borderId="0" xfId="2" applyFont="1" applyAlignment="1">
      <alignment vertical="center"/>
    </xf>
    <xf numFmtId="0" fontId="3" fillId="2" borderId="2" xfId="2" applyFont="1" applyFill="1" applyBorder="1"/>
    <xf numFmtId="0" fontId="8" fillId="2" borderId="2" xfId="2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right" vertical="top"/>
    </xf>
    <xf numFmtId="0" fontId="48" fillId="0" borderId="2" xfId="0" applyFont="1" applyBorder="1" applyAlignment="1">
      <alignment horizontal="center"/>
    </xf>
    <xf numFmtId="14" fontId="14" fillId="0" borderId="2" xfId="4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2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vertical="top" wrapText="1"/>
    </xf>
    <xf numFmtId="2" fontId="8" fillId="0" borderId="2" xfId="0" quotePrefix="1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/>
    <xf numFmtId="2" fontId="74" fillId="0" borderId="0" xfId="0" applyNumberFormat="1" applyFont="1" applyBorder="1" applyAlignment="1">
      <alignment horizontal="left" wrapText="1"/>
    </xf>
    <xf numFmtId="1" fontId="8" fillId="0" borderId="2" xfId="0" quotePrefix="1" applyNumberFormat="1" applyFont="1" applyBorder="1" applyAlignment="1">
      <alignment horizontal="right" wrapText="1"/>
    </xf>
    <xf numFmtId="1" fontId="8" fillId="0" borderId="2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8" fillId="0" borderId="11" xfId="0" applyFont="1" applyFill="1" applyBorder="1"/>
    <xf numFmtId="0" fontId="11" fillId="0" borderId="0" xfId="0" applyFont="1" applyBorder="1" applyAlignment="1">
      <alignment horizontal="center" vertical="top" wrapText="1"/>
    </xf>
    <xf numFmtId="0" fontId="8" fillId="0" borderId="1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8" fillId="0" borderId="0" xfId="2" applyFont="1"/>
    <xf numFmtId="2" fontId="0" fillId="0" borderId="0" xfId="0" applyNumberForma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Border="1"/>
    <xf numFmtId="0" fontId="8" fillId="0" borderId="0" xfId="0" applyFont="1"/>
    <xf numFmtId="0" fontId="3" fillId="0" borderId="2" xfId="0" applyFont="1" applyFill="1" applyBorder="1" applyAlignment="1">
      <alignment horizontal="right"/>
    </xf>
    <xf numFmtId="1" fontId="3" fillId="0" borderId="2" xfId="0" applyNumberFormat="1" applyFont="1" applyFill="1" applyBorder="1"/>
    <xf numFmtId="0" fontId="8" fillId="0" borderId="2" xfId="0" applyFont="1" applyFill="1" applyBorder="1" applyAlignment="1">
      <alignment vertical="top" wrapText="1"/>
    </xf>
    <xf numFmtId="1" fontId="8" fillId="0" borderId="0" xfId="0" quotePrefix="1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/>
    </xf>
    <xf numFmtId="1" fontId="8" fillId="0" borderId="10" xfId="0" applyNumberFormat="1" applyFont="1" applyFill="1" applyBorder="1"/>
    <xf numFmtId="0" fontId="8" fillId="0" borderId="2" xfId="2" applyFont="1" applyBorder="1" applyAlignment="1">
      <alignment horizontal="left" vertical="center"/>
    </xf>
    <xf numFmtId="2" fontId="60" fillId="0" borderId="0" xfId="1" applyNumberFormat="1" applyFont="1"/>
    <xf numFmtId="1" fontId="8" fillId="0" borderId="10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center"/>
    </xf>
    <xf numFmtId="2" fontId="8" fillId="0" borderId="2" xfId="0" quotePrefix="1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18" fillId="0" borderId="2" xfId="0" quotePrefix="1" applyFont="1" applyBorder="1" applyAlignment="1">
      <alignment horizontal="center" vertical="top" wrapText="1"/>
    </xf>
    <xf numFmtId="0" fontId="18" fillId="0" borderId="5" xfId="0" quotePrefix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5" xfId="0" applyFont="1" applyFill="1" applyBorder="1"/>
    <xf numFmtId="0" fontId="8" fillId="0" borderId="6" xfId="0" applyFont="1" applyBorder="1" applyAlignment="1"/>
    <xf numFmtId="0" fontId="3" fillId="0" borderId="5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2" fontId="3" fillId="0" borderId="2" xfId="0" applyNumberFormat="1" applyFont="1" applyBorder="1" applyAlignment="1">
      <alignment vertical="center"/>
    </xf>
    <xf numFmtId="0" fontId="63" fillId="0" borderId="2" xfId="1" applyFont="1" applyBorder="1" applyAlignment="1">
      <alignment vertical="center" wrapText="1"/>
    </xf>
    <xf numFmtId="0" fontId="63" fillId="0" borderId="2" xfId="1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 vertical="top"/>
    </xf>
    <xf numFmtId="0" fontId="8" fillId="0" borderId="0" xfId="0" applyFont="1"/>
    <xf numFmtId="0" fontId="8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2" fontId="3" fillId="0" borderId="0" xfId="3" applyNumberFormat="1" applyFont="1" applyBorder="1"/>
    <xf numFmtId="0" fontId="10" fillId="0" borderId="0" xfId="0" applyFont="1"/>
    <xf numFmtId="0" fontId="32" fillId="0" borderId="0" xfId="0" applyFont="1" applyBorder="1" applyAlignment="1">
      <alignment horizontal="center"/>
    </xf>
    <xf numFmtId="0" fontId="78" fillId="0" borderId="0" xfId="0" applyFont="1"/>
    <xf numFmtId="0" fontId="79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2" fontId="52" fillId="0" borderId="5" xfId="0" applyNumberFormat="1" applyFont="1" applyBorder="1" applyAlignment="1">
      <alignment horizontal="center"/>
    </xf>
    <xf numFmtId="2" fontId="52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8" fillId="0" borderId="2" xfId="0" quotePrefix="1" applyFont="1" applyBorder="1" applyAlignment="1">
      <alignment horizontal="center" vertical="top" wrapText="1"/>
    </xf>
    <xf numFmtId="0" fontId="18" fillId="0" borderId="5" xfId="0" quotePrefix="1" applyFont="1" applyBorder="1" applyAlignment="1">
      <alignment horizontal="center" vertical="top" wrapText="1"/>
    </xf>
    <xf numFmtId="0" fontId="18" fillId="0" borderId="9" xfId="0" quotePrefix="1" applyFont="1" applyBorder="1" applyAlignment="1">
      <alignment horizontal="center" vertical="top" wrapText="1"/>
    </xf>
    <xf numFmtId="0" fontId="18" fillId="0" borderId="6" xfId="0" quotePrefix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2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2" fillId="0" borderId="5" xfId="0" applyFont="1" applyFill="1" applyBorder="1" applyAlignment="1">
      <alignment horizontal="center"/>
    </xf>
    <xf numFmtId="0" fontId="52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2" fontId="52" fillId="0" borderId="5" xfId="0" applyNumberFormat="1" applyFont="1" applyFill="1" applyBorder="1" applyAlignment="1">
      <alignment horizontal="center"/>
    </xf>
    <xf numFmtId="2" fontId="52" fillId="0" borderId="6" xfId="0" applyNumberFormat="1" applyFont="1" applyFill="1" applyBorder="1" applyAlignment="1">
      <alignment horizontal="center"/>
    </xf>
    <xf numFmtId="2" fontId="53" fillId="0" borderId="5" xfId="0" applyNumberFormat="1" applyFont="1" applyFill="1" applyBorder="1" applyAlignment="1">
      <alignment horizontal="center"/>
    </xf>
    <xf numFmtId="2" fontId="53" fillId="0" borderId="6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25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16" fillId="0" borderId="2" xfId="4" applyFont="1" applyBorder="1" applyAlignment="1">
      <alignment horizontal="center" vertical="top" wrapText="1"/>
    </xf>
    <xf numFmtId="0" fontId="16" fillId="0" borderId="2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10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center" wrapText="1"/>
    </xf>
    <xf numFmtId="0" fontId="16" fillId="0" borderId="13" xfId="4" applyFont="1" applyBorder="1" applyAlignment="1">
      <alignment horizontal="center" vertical="center" wrapText="1"/>
    </xf>
    <xf numFmtId="0" fontId="16" fillId="0" borderId="14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6" fillId="0" borderId="15" xfId="4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7" fillId="0" borderId="5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top" wrapText="1"/>
    </xf>
    <xf numFmtId="0" fontId="13" fillId="0" borderId="5" xfId="4" applyFont="1" applyBorder="1" applyAlignment="1">
      <alignment horizontal="center" vertical="top" wrapText="1"/>
    </xf>
    <xf numFmtId="0" fontId="13" fillId="0" borderId="6" xfId="4" applyFont="1" applyBorder="1" applyAlignment="1">
      <alignment horizontal="center" vertical="top" wrapText="1"/>
    </xf>
    <xf numFmtId="0" fontId="14" fillId="0" borderId="0" xfId="4" applyFont="1" applyAlignment="1">
      <alignment horizontal="left"/>
    </xf>
    <xf numFmtId="0" fontId="14" fillId="0" borderId="1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6" fillId="0" borderId="12" xfId="4" applyFont="1" applyBorder="1" applyAlignment="1">
      <alignment horizontal="center" vertical="top" wrapText="1"/>
    </xf>
    <xf numFmtId="0" fontId="16" fillId="0" borderId="13" xfId="4" applyFont="1" applyBorder="1" applyAlignment="1">
      <alignment horizontal="center" vertical="top" wrapText="1"/>
    </xf>
    <xf numFmtId="0" fontId="16" fillId="0" borderId="14" xfId="4" applyFont="1" applyBorder="1" applyAlignment="1">
      <alignment horizontal="center" vertical="top" wrapText="1"/>
    </xf>
    <xf numFmtId="0" fontId="16" fillId="0" borderId="8" xfId="4" applyFont="1" applyBorder="1" applyAlignment="1">
      <alignment horizontal="center" vertical="top" wrapText="1"/>
    </xf>
    <xf numFmtId="0" fontId="16" fillId="0" borderId="7" xfId="4" applyFont="1" applyBorder="1" applyAlignment="1">
      <alignment horizontal="center" vertical="top" wrapText="1"/>
    </xf>
    <xf numFmtId="0" fontId="16" fillId="0" borderId="15" xfId="4" applyFont="1" applyBorder="1" applyAlignment="1">
      <alignment horizontal="center" vertical="top" wrapText="1"/>
    </xf>
    <xf numFmtId="0" fontId="6" fillId="0" borderId="0" xfId="2" applyFont="1" applyAlignment="1">
      <alignment horizontal="center"/>
    </xf>
    <xf numFmtId="0" fontId="69" fillId="0" borderId="2" xfId="2" applyFont="1" applyBorder="1" applyAlignment="1">
      <alignment horizontal="left"/>
    </xf>
    <xf numFmtId="0" fontId="66" fillId="0" borderId="0" xfId="2" applyFont="1" applyAlignment="1">
      <alignment horizontal="center"/>
    </xf>
    <xf numFmtId="0" fontId="67" fillId="0" borderId="0" xfId="2" applyFont="1" applyAlignment="1">
      <alignment horizontal="center"/>
    </xf>
    <xf numFmtId="0" fontId="66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8" fillId="0" borderId="7" xfId="2" applyFont="1" applyBorder="1" applyAlignment="1">
      <alignment horizontal="right"/>
    </xf>
    <xf numFmtId="0" fontId="3" fillId="0" borderId="2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5" fillId="2" borderId="2" xfId="2" applyFont="1" applyFill="1" applyBorder="1" applyAlignment="1">
      <alignment horizontal="center" vertical="center" wrapText="1"/>
    </xf>
    <xf numFmtId="0" fontId="77" fillId="0" borderId="0" xfId="2" applyFont="1" applyAlignment="1">
      <alignment horizontal="center" vertical="center"/>
    </xf>
    <xf numFmtId="0" fontId="71" fillId="0" borderId="0" xfId="2" applyFont="1" applyAlignment="1">
      <alignment horizontal="left" vertical="center"/>
    </xf>
    <xf numFmtId="0" fontId="72" fillId="0" borderId="0" xfId="2" applyFont="1" applyAlignment="1">
      <alignment horizontal="left" vertical="center" wrapText="1"/>
    </xf>
    <xf numFmtId="0" fontId="71" fillId="0" borderId="0" xfId="2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9" fillId="0" borderId="0" xfId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8" fillId="0" borderId="7" xfId="0" applyFont="1" applyBorder="1" applyAlignment="1">
      <alignment horizontal="left"/>
    </xf>
    <xf numFmtId="0" fontId="42" fillId="0" borderId="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top"/>
    </xf>
    <xf numFmtId="0" fontId="6" fillId="0" borderId="0" xfId="1" applyFont="1" applyAlignment="1"/>
    <xf numFmtId="0" fontId="53" fillId="2" borderId="1" xfId="1" quotePrefix="1" applyFont="1" applyFill="1" applyBorder="1" applyAlignment="1">
      <alignment horizontal="center" vertical="center" wrapText="1"/>
    </xf>
    <xf numFmtId="0" fontId="53" fillId="2" borderId="3" xfId="1" quotePrefix="1" applyFont="1" applyFill="1" applyBorder="1" applyAlignment="1">
      <alignment horizontal="center" vertical="center" wrapText="1"/>
    </xf>
    <xf numFmtId="0" fontId="53" fillId="2" borderId="5" xfId="1" quotePrefix="1" applyFont="1" applyFill="1" applyBorder="1" applyAlignment="1">
      <alignment horizontal="center" vertical="center" wrapText="1"/>
    </xf>
    <xf numFmtId="0" fontId="53" fillId="2" borderId="9" xfId="1" quotePrefix="1" applyFont="1" applyFill="1" applyBorder="1" applyAlignment="1">
      <alignment horizontal="center" vertical="center" wrapText="1"/>
    </xf>
    <xf numFmtId="0" fontId="53" fillId="2" borderId="6" xfId="1" quotePrefix="1" applyFont="1" applyFill="1" applyBorder="1" applyAlignment="1">
      <alignment horizontal="center" vertical="center" wrapText="1"/>
    </xf>
    <xf numFmtId="0" fontId="53" fillId="0" borderId="5" xfId="1" applyFont="1" applyBorder="1" applyAlignment="1">
      <alignment horizontal="left" vertical="center"/>
    </xf>
    <xf numFmtId="0" fontId="53" fillId="0" borderId="9" xfId="1" applyFont="1" applyBorder="1" applyAlignment="1">
      <alignment horizontal="left" vertical="center"/>
    </xf>
    <xf numFmtId="0" fontId="53" fillId="0" borderId="6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2" fillId="2" borderId="5" xfId="0" applyFont="1" applyFill="1" applyBorder="1" applyAlignment="1">
      <alignment horizontal="center" vertical="top" wrapText="1"/>
    </xf>
    <xf numFmtId="0" fontId="42" fillId="2" borderId="9" xfId="0" applyFont="1" applyFill="1" applyBorder="1" applyAlignment="1">
      <alignment horizontal="center" vertical="top" wrapText="1"/>
    </xf>
    <xf numFmtId="0" fontId="42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top"/>
    </xf>
    <xf numFmtId="0" fontId="3" fillId="0" borderId="9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3" fillId="0" borderId="1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/>
    </xf>
    <xf numFmtId="0" fontId="7" fillId="0" borderId="9" xfId="2" applyFont="1" applyBorder="1" applyAlignment="1">
      <alignment horizontal="center" vertical="top"/>
    </xf>
    <xf numFmtId="0" fontId="7" fillId="0" borderId="16" xfId="2" applyFont="1" applyBorder="1" applyAlignment="1">
      <alignment horizontal="center" vertical="top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3" fillId="0" borderId="5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2" xfId="1" quotePrefix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/>
    </xf>
    <xf numFmtId="0" fontId="41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6" fillId="0" borderId="2" xfId="2" applyFont="1" applyBorder="1" applyAlignment="1">
      <alignment horizontal="center" vertical="top" wrapText="1"/>
    </xf>
    <xf numFmtId="0" fontId="16" fillId="0" borderId="1" xfId="2" applyFont="1" applyBorder="1" applyAlignment="1">
      <alignment horizontal="center" vertical="top" wrapText="1"/>
    </xf>
    <xf numFmtId="0" fontId="16" fillId="0" borderId="10" xfId="2" applyFont="1" applyBorder="1" applyAlignment="1">
      <alignment horizontal="center" vertical="top" wrapText="1"/>
    </xf>
    <xf numFmtId="0" fontId="16" fillId="0" borderId="3" xfId="2" applyFont="1" applyBorder="1" applyAlignment="1">
      <alignment horizontal="center" vertical="top" wrapText="1"/>
    </xf>
    <xf numFmtId="0" fontId="16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3" applyFont="1" applyAlignment="1">
      <alignment horizontal="left"/>
    </xf>
    <xf numFmtId="0" fontId="13" fillId="0" borderId="0" xfId="2" applyFont="1" applyAlignment="1">
      <alignment horizontal="center" vertical="top" wrapText="1"/>
    </xf>
    <xf numFmtId="0" fontId="12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16" fillId="0" borderId="0" xfId="2" applyFont="1" applyAlignment="1">
      <alignment horizontal="center" vertical="top" wrapText="1"/>
    </xf>
    <xf numFmtId="0" fontId="7" fillId="0" borderId="0" xfId="2" applyFont="1" applyAlignment="1">
      <alignment horizontal="center" vertical="center" wrapText="1"/>
    </xf>
    <xf numFmtId="0" fontId="16" fillId="0" borderId="2" xfId="2" applyFont="1" applyBorder="1" applyAlignment="1">
      <alignment horizontal="center" vertical="top"/>
    </xf>
    <xf numFmtId="0" fontId="17" fillId="2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63" fillId="0" borderId="1" xfId="1" applyFont="1" applyBorder="1" applyAlignment="1">
      <alignment horizontal="center" vertical="center" wrapText="1"/>
    </xf>
    <xf numFmtId="0" fontId="63" fillId="0" borderId="10" xfId="1" applyFont="1" applyBorder="1" applyAlignment="1">
      <alignment horizontal="center" vertical="center" wrapText="1"/>
    </xf>
    <xf numFmtId="0" fontId="63" fillId="0" borderId="3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76" fillId="0" borderId="12" xfId="1" applyFont="1" applyBorder="1" applyAlignment="1">
      <alignment horizontal="center" vertical="center" wrapText="1"/>
    </xf>
    <xf numFmtId="0" fontId="76" fillId="0" borderId="13" xfId="1" applyFont="1" applyBorder="1" applyAlignment="1">
      <alignment horizontal="center" vertical="center" wrapText="1"/>
    </xf>
    <xf numFmtId="0" fontId="76" fillId="0" borderId="14" xfId="1" applyFont="1" applyBorder="1" applyAlignment="1">
      <alignment horizontal="center" vertical="center" wrapText="1"/>
    </xf>
    <xf numFmtId="0" fontId="76" fillId="0" borderId="11" xfId="1" applyFont="1" applyBorder="1" applyAlignment="1">
      <alignment horizontal="center" vertical="center" wrapText="1"/>
    </xf>
    <xf numFmtId="0" fontId="76" fillId="0" borderId="0" xfId="1" applyFont="1" applyBorder="1" applyAlignment="1">
      <alignment horizontal="center" vertical="center" wrapText="1"/>
    </xf>
    <xf numFmtId="0" fontId="76" fillId="0" borderId="17" xfId="1" applyFont="1" applyBorder="1" applyAlignment="1">
      <alignment horizontal="center" vertical="center" wrapText="1"/>
    </xf>
    <xf numFmtId="0" fontId="76" fillId="0" borderId="8" xfId="1" applyFont="1" applyBorder="1" applyAlignment="1">
      <alignment horizontal="center" vertical="center" wrapText="1"/>
    </xf>
    <xf numFmtId="0" fontId="76" fillId="0" borderId="7" xfId="1" applyFont="1" applyBorder="1" applyAlignment="1">
      <alignment horizontal="center" vertical="center" wrapText="1"/>
    </xf>
    <xf numFmtId="0" fontId="76" fillId="0" borderId="15" xfId="1" applyFont="1" applyBorder="1" applyAlignment="1">
      <alignment horizontal="center" vertical="center" wrapText="1"/>
    </xf>
    <xf numFmtId="0" fontId="62" fillId="0" borderId="0" xfId="1" applyFont="1" applyAlignment="1">
      <alignment horizontal="center"/>
    </xf>
    <xf numFmtId="0" fontId="75" fillId="0" borderId="12" xfId="1" applyFont="1" applyBorder="1" applyAlignment="1">
      <alignment horizontal="center" vertical="center" wrapText="1"/>
    </xf>
    <xf numFmtId="0" fontId="75" fillId="0" borderId="13" xfId="1" applyFont="1" applyBorder="1" applyAlignment="1">
      <alignment horizontal="center" vertical="center" wrapText="1"/>
    </xf>
    <xf numFmtId="0" fontId="75" fillId="0" borderId="14" xfId="1" applyFont="1" applyBorder="1" applyAlignment="1">
      <alignment horizontal="center" vertical="center" wrapText="1"/>
    </xf>
    <xf numFmtId="0" fontId="75" fillId="0" borderId="11" xfId="1" applyFont="1" applyBorder="1" applyAlignment="1">
      <alignment horizontal="center" vertical="center" wrapText="1"/>
    </xf>
    <xf numFmtId="0" fontId="75" fillId="0" borderId="0" xfId="1" applyFont="1" applyBorder="1" applyAlignment="1">
      <alignment horizontal="center" vertical="center" wrapText="1"/>
    </xf>
    <xf numFmtId="0" fontId="75" fillId="0" borderId="17" xfId="1" applyFont="1" applyBorder="1" applyAlignment="1">
      <alignment horizontal="center" vertical="center" wrapText="1"/>
    </xf>
    <xf numFmtId="0" fontId="75" fillId="0" borderId="8" xfId="1" applyFont="1" applyBorder="1" applyAlignment="1">
      <alignment horizontal="center" vertical="center" wrapText="1"/>
    </xf>
    <xf numFmtId="0" fontId="75" fillId="0" borderId="7" xfId="1" applyFont="1" applyBorder="1" applyAlignment="1">
      <alignment horizontal="center" vertical="center" wrapText="1"/>
    </xf>
    <xf numFmtId="0" fontId="75" fillId="0" borderId="15" xfId="1" applyFont="1" applyBorder="1" applyAlignment="1">
      <alignment horizontal="center" vertical="center" wrapText="1"/>
    </xf>
    <xf numFmtId="0" fontId="42" fillId="0" borderId="0" xfId="1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64" fillId="0" borderId="12" xfId="1" applyFont="1" applyBorder="1" applyAlignment="1">
      <alignment horizontal="center" vertical="center"/>
    </xf>
    <xf numFmtId="0" fontId="64" fillId="0" borderId="13" xfId="1" applyFont="1" applyBorder="1" applyAlignment="1">
      <alignment horizontal="center" vertical="center"/>
    </xf>
    <xf numFmtId="0" fontId="64" fillId="0" borderId="14" xfId="1" applyFont="1" applyBorder="1" applyAlignment="1">
      <alignment horizontal="center" vertical="center"/>
    </xf>
    <xf numFmtId="0" fontId="64" fillId="0" borderId="11" xfId="1" applyFont="1" applyBorder="1" applyAlignment="1">
      <alignment horizontal="center" vertical="center"/>
    </xf>
    <xf numFmtId="0" fontId="64" fillId="0" borderId="0" xfId="1" applyFont="1" applyBorder="1" applyAlignment="1">
      <alignment horizontal="center" vertical="center"/>
    </xf>
    <xf numFmtId="0" fontId="64" fillId="0" borderId="17" xfId="1" applyFont="1" applyBorder="1" applyAlignment="1">
      <alignment horizontal="center" vertical="center"/>
    </xf>
    <xf numFmtId="0" fontId="64" fillId="0" borderId="8" xfId="1" applyFont="1" applyBorder="1" applyAlignment="1">
      <alignment horizontal="center" vertical="center"/>
    </xf>
    <xf numFmtId="0" fontId="64" fillId="0" borderId="7" xfId="1" applyFont="1" applyBorder="1" applyAlignment="1">
      <alignment horizontal="center" vertical="center"/>
    </xf>
    <xf numFmtId="0" fontId="64" fillId="0" borderId="15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wrapText="1"/>
    </xf>
    <xf numFmtId="0" fontId="20" fillId="0" borderId="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13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wrapText="1"/>
    </xf>
    <xf numFmtId="0" fontId="20" fillId="0" borderId="1" xfId="1" applyFont="1" applyBorder="1" applyAlignment="1">
      <alignment horizontal="center" vertical="top"/>
    </xf>
    <xf numFmtId="0" fontId="20" fillId="0" borderId="10" xfId="1" applyFont="1" applyBorder="1" applyAlignment="1">
      <alignment horizontal="center" vertical="top"/>
    </xf>
    <xf numFmtId="0" fontId="20" fillId="0" borderId="3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3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18" fillId="0" borderId="5" xfId="3" applyFont="1" applyBorder="1" applyAlignment="1">
      <alignment horizontal="center" vertical="top"/>
    </xf>
    <xf numFmtId="0" fontId="18" fillId="0" borderId="9" xfId="3" applyFont="1" applyBorder="1" applyAlignment="1">
      <alignment horizontal="center" vertical="top"/>
    </xf>
    <xf numFmtId="0" fontId="18" fillId="0" borderId="6" xfId="3" applyFont="1" applyBorder="1" applyAlignment="1">
      <alignment horizontal="center" vertical="top"/>
    </xf>
    <xf numFmtId="0" fontId="9" fillId="0" borderId="5" xfId="3" applyFont="1" applyBorder="1" applyAlignment="1">
      <alignment horizontal="center" vertical="top" wrapText="1"/>
    </xf>
    <xf numFmtId="0" fontId="9" fillId="0" borderId="6" xfId="3" applyFont="1" applyBorder="1" applyAlignment="1">
      <alignment horizontal="center" vertical="top" wrapText="1"/>
    </xf>
    <xf numFmtId="0" fontId="4" fillId="0" borderId="0" xfId="3" applyFont="1" applyAlignment="1">
      <alignment horizontal="right"/>
    </xf>
    <xf numFmtId="0" fontId="18" fillId="0" borderId="5" xfId="3" applyFont="1" applyBorder="1" applyAlignment="1">
      <alignment horizontal="center" vertical="top" wrapText="1"/>
    </xf>
    <xf numFmtId="0" fontId="18" fillId="0" borderId="9" xfId="3" applyFont="1" applyBorder="1" applyAlignment="1">
      <alignment horizontal="center" vertical="top" wrapText="1"/>
    </xf>
    <xf numFmtId="0" fontId="18" fillId="0" borderId="6" xfId="3" applyFont="1" applyBorder="1" applyAlignment="1">
      <alignment horizontal="center" vertical="top" wrapText="1"/>
    </xf>
    <xf numFmtId="0" fontId="18" fillId="0" borderId="12" xfId="3" applyFont="1" applyBorder="1" applyAlignment="1">
      <alignment horizontal="center" vertical="top" wrapText="1"/>
    </xf>
    <xf numFmtId="0" fontId="18" fillId="0" borderId="13" xfId="3" applyFont="1" applyBorder="1" applyAlignment="1">
      <alignment horizontal="center" vertical="top" wrapText="1"/>
    </xf>
    <xf numFmtId="0" fontId="18" fillId="0" borderId="14" xfId="3" applyFont="1" applyBorder="1" applyAlignment="1">
      <alignment horizontal="center" vertical="top" wrapText="1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0" fontId="18" fillId="0" borderId="15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8" fillId="0" borderId="1" xfId="3" applyFont="1" applyBorder="1" applyAlignment="1">
      <alignment horizontal="center" vertical="top" wrapText="1"/>
    </xf>
    <xf numFmtId="0" fontId="18" fillId="0" borderId="3" xfId="3" applyFont="1" applyBorder="1" applyAlignment="1">
      <alignment horizontal="center" vertical="top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6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8" fillId="0" borderId="0" xfId="2" applyFont="1"/>
    <xf numFmtId="0" fontId="3" fillId="0" borderId="2" xfId="2" applyFont="1" applyBorder="1" applyAlignment="1">
      <alignment horizontal="center"/>
    </xf>
    <xf numFmtId="0" fontId="50" fillId="0" borderId="12" xfId="2" applyFont="1" applyBorder="1" applyAlignment="1">
      <alignment horizontal="center" vertical="center"/>
    </xf>
    <xf numFmtId="0" fontId="50" fillId="0" borderId="13" xfId="2" applyFont="1" applyBorder="1" applyAlignment="1">
      <alignment horizontal="center" vertical="center"/>
    </xf>
    <xf numFmtId="0" fontId="50" fillId="0" borderId="14" xfId="2" applyFont="1" applyBorder="1" applyAlignment="1">
      <alignment horizontal="center" vertical="center"/>
    </xf>
    <xf numFmtId="0" fontId="50" fillId="0" borderId="11" xfId="2" applyFont="1" applyBorder="1" applyAlignment="1">
      <alignment horizontal="center" vertical="center"/>
    </xf>
    <xf numFmtId="0" fontId="50" fillId="0" borderId="0" xfId="2" applyFont="1" applyBorder="1" applyAlignment="1">
      <alignment horizontal="center" vertical="center"/>
    </xf>
    <xf numFmtId="0" fontId="50" fillId="0" borderId="17" xfId="2" applyFont="1" applyBorder="1" applyAlignment="1">
      <alignment horizontal="center" vertical="center"/>
    </xf>
    <xf numFmtId="0" fontId="50" fillId="0" borderId="8" xfId="2" applyFont="1" applyBorder="1" applyAlignment="1">
      <alignment horizontal="center" vertical="center"/>
    </xf>
    <xf numFmtId="0" fontId="50" fillId="0" borderId="7" xfId="2" applyFont="1" applyBorder="1" applyAlignment="1">
      <alignment horizontal="center" vertical="center"/>
    </xf>
    <xf numFmtId="0" fontId="50" fillId="0" borderId="15" xfId="2" applyFont="1" applyBorder="1" applyAlignment="1">
      <alignment horizontal="center" vertical="center"/>
    </xf>
    <xf numFmtId="0" fontId="18" fillId="0" borderId="0" xfId="2" applyFont="1" applyBorder="1" applyAlignment="1">
      <alignment horizontal="right"/>
    </xf>
    <xf numFmtId="2" fontId="3" fillId="0" borderId="6" xfId="0" applyNumberFormat="1" applyFont="1" applyBorder="1"/>
    <xf numFmtId="1" fontId="19" fillId="0" borderId="2" xfId="1" applyNumberFormat="1" applyFont="1" applyBorder="1"/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/>
    <xf numFmtId="2" fontId="3" fillId="0" borderId="2" xfId="0" applyNumberFormat="1" applyFont="1" applyBorder="1" applyAlignment="1"/>
  </cellXfs>
  <cellStyles count="9">
    <cellStyle name="Normal" xfId="0" builtinId="0"/>
    <cellStyle name="Normal 2" xfId="1"/>
    <cellStyle name="Normal 2 2" xfId="5"/>
    <cellStyle name="Normal 2 2 2" xfId="7"/>
    <cellStyle name="Normal 2 3" xfId="8"/>
    <cellStyle name="Normal 2 4" xfId="6"/>
    <cellStyle name="Normal 3" xfId="2"/>
    <cellStyle name="Normal 3 2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3</xdr:row>
      <xdr:rowOff>3094</xdr:rowOff>
    </xdr:from>
    <xdr:ext cx="9271663" cy="4551367"/>
    <xdr:sp macro="" textlink="">
      <xdr:nvSpPr>
        <xdr:cNvPr id="2" name="Rectangle 1"/>
        <xdr:cNvSpPr/>
      </xdr:nvSpPr>
      <xdr:spPr>
        <a:xfrm>
          <a:off x="82550" y="479344"/>
          <a:ext cx="9271663" cy="45513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: TELANGANA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: 23-05-2020</a:t>
          </a: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lcome%20pn/Desktop/PAB%202020-21/U-DISE-2018-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s"/>
      <sheetName val="i to v- enrolment"/>
      <sheetName val="Vi to VIII Enrolment"/>
      <sheetName val="I to V-Dist"/>
      <sheetName val="Sheet1"/>
      <sheetName val="Total"/>
      <sheetName val="vI TO viii-DIST"/>
    </sheetNames>
    <sheetDataSet>
      <sheetData sheetId="0"/>
      <sheetData sheetId="1"/>
      <sheetData sheetId="2"/>
      <sheetData sheetId="3">
        <row r="3">
          <cell r="A3" t="str">
            <v>ADILABAD</v>
          </cell>
          <cell r="B3">
            <v>308</v>
          </cell>
          <cell r="C3">
            <v>38433</v>
          </cell>
          <cell r="D3">
            <v>696</v>
          </cell>
        </row>
        <row r="4">
          <cell r="A4" t="str">
            <v>BHADRADRI</v>
          </cell>
          <cell r="B4">
            <v>3055</v>
          </cell>
          <cell r="C4">
            <v>38093</v>
          </cell>
        </row>
        <row r="5">
          <cell r="A5" t="str">
            <v>HYDERABAD</v>
          </cell>
          <cell r="B5">
            <v>20056</v>
          </cell>
          <cell r="C5">
            <v>66344</v>
          </cell>
          <cell r="D5">
            <v>519</v>
          </cell>
        </row>
        <row r="6">
          <cell r="A6" t="str">
            <v>JAGiTIAL</v>
          </cell>
          <cell r="B6">
            <v>67</v>
          </cell>
          <cell r="C6">
            <v>26883</v>
          </cell>
          <cell r="D6">
            <v>224</v>
          </cell>
        </row>
        <row r="7">
          <cell r="A7" t="str">
            <v>JANaGoaN</v>
          </cell>
          <cell r="B7">
            <v>247</v>
          </cell>
          <cell r="C7">
            <v>15948</v>
          </cell>
        </row>
        <row r="8">
          <cell r="A8" t="str">
            <v>JAYASHANKAR</v>
          </cell>
          <cell r="C8">
            <v>11699</v>
          </cell>
          <cell r="D8">
            <v>32</v>
          </cell>
        </row>
        <row r="9">
          <cell r="A9" t="str">
            <v>JOGULAMBA</v>
          </cell>
          <cell r="B9">
            <v>84</v>
          </cell>
          <cell r="C9">
            <v>34940</v>
          </cell>
          <cell r="D9">
            <v>31</v>
          </cell>
        </row>
        <row r="10">
          <cell r="A10" t="str">
            <v>KAMAREDDY</v>
          </cell>
          <cell r="B10">
            <v>351</v>
          </cell>
          <cell r="C10">
            <v>43547</v>
          </cell>
        </row>
        <row r="11">
          <cell r="A11" t="str">
            <v>KARIMNAGAR</v>
          </cell>
          <cell r="B11">
            <v>1089</v>
          </cell>
          <cell r="C11">
            <v>17987</v>
          </cell>
          <cell r="D11">
            <v>19</v>
          </cell>
        </row>
        <row r="12">
          <cell r="A12" t="str">
            <v>KHAMMAM</v>
          </cell>
          <cell r="B12">
            <v>2272</v>
          </cell>
          <cell r="C12">
            <v>42677</v>
          </cell>
          <cell r="D12">
            <v>37</v>
          </cell>
        </row>
        <row r="13">
          <cell r="A13" t="str">
            <v>KOMRAM BHEEM</v>
          </cell>
          <cell r="B13">
            <v>526</v>
          </cell>
          <cell r="C13">
            <v>27763</v>
          </cell>
          <cell r="D13">
            <v>537</v>
          </cell>
        </row>
        <row r="14">
          <cell r="A14" t="str">
            <v>MAHABUBABAD</v>
          </cell>
          <cell r="B14">
            <v>74</v>
          </cell>
          <cell r="C14">
            <v>26495</v>
          </cell>
          <cell r="D14">
            <v>121</v>
          </cell>
        </row>
        <row r="15">
          <cell r="A15" t="str">
            <v>MAHABUBNAGAR</v>
          </cell>
          <cell r="B15">
            <v>1403</v>
          </cell>
          <cell r="C15">
            <v>37734</v>
          </cell>
          <cell r="D15">
            <v>608</v>
          </cell>
        </row>
        <row r="16">
          <cell r="A16" t="str">
            <v>MANCHERIAL</v>
          </cell>
          <cell r="B16">
            <v>983</v>
          </cell>
          <cell r="C16">
            <v>20262</v>
          </cell>
          <cell r="D16">
            <v>111</v>
          </cell>
        </row>
        <row r="17">
          <cell r="A17" t="str">
            <v>MEDAK</v>
          </cell>
          <cell r="B17">
            <v>57</v>
          </cell>
          <cell r="C17">
            <v>38843</v>
          </cell>
          <cell r="D17">
            <v>240</v>
          </cell>
        </row>
        <row r="18">
          <cell r="A18" t="str">
            <v>MEDCHAL</v>
          </cell>
          <cell r="B18">
            <v>467</v>
          </cell>
          <cell r="C18">
            <v>39309</v>
          </cell>
          <cell r="D18">
            <v>518</v>
          </cell>
        </row>
        <row r="19">
          <cell r="A19" t="str">
            <v>MULUGU</v>
          </cell>
          <cell r="B19">
            <v>59</v>
          </cell>
          <cell r="C19">
            <v>11143</v>
          </cell>
        </row>
        <row r="20">
          <cell r="A20" t="str">
            <v>NAGARKURNOOL</v>
          </cell>
          <cell r="B20">
            <v>533</v>
          </cell>
          <cell r="C20">
            <v>31968</v>
          </cell>
          <cell r="D20">
            <v>48</v>
          </cell>
        </row>
        <row r="21">
          <cell r="A21" t="str">
            <v>NALGONDA</v>
          </cell>
          <cell r="B21">
            <v>3756</v>
          </cell>
          <cell r="C21">
            <v>47743</v>
          </cell>
          <cell r="D21">
            <v>514</v>
          </cell>
        </row>
        <row r="22">
          <cell r="A22" t="str">
            <v>NARAYANPET</v>
          </cell>
          <cell r="B22">
            <v>518</v>
          </cell>
          <cell r="C22">
            <v>31752</v>
          </cell>
          <cell r="D22">
            <v>349</v>
          </cell>
        </row>
        <row r="23">
          <cell r="A23" t="str">
            <v>NIRMAL</v>
          </cell>
          <cell r="B23">
            <v>188</v>
          </cell>
          <cell r="C23">
            <v>26715</v>
          </cell>
          <cell r="D23">
            <v>416</v>
          </cell>
        </row>
        <row r="24">
          <cell r="A24" t="str">
            <v>NIZAMABAD</v>
          </cell>
          <cell r="B24">
            <v>6551</v>
          </cell>
          <cell r="C24">
            <v>46865</v>
          </cell>
          <cell r="D24">
            <v>58</v>
          </cell>
        </row>
        <row r="25">
          <cell r="A25" t="str">
            <v>PEDDAPALLI</v>
          </cell>
          <cell r="B25">
            <v>624</v>
          </cell>
          <cell r="C25">
            <v>14226</v>
          </cell>
        </row>
        <row r="26">
          <cell r="A26" t="str">
            <v>RAJANNA</v>
          </cell>
          <cell r="B26">
            <v>101</v>
          </cell>
          <cell r="C26">
            <v>17475</v>
          </cell>
          <cell r="D26">
            <v>1</v>
          </cell>
        </row>
        <row r="27">
          <cell r="A27" t="str">
            <v>RANGA REDDY</v>
          </cell>
          <cell r="B27">
            <v>1588</v>
          </cell>
          <cell r="C27">
            <v>71871</v>
          </cell>
          <cell r="D27">
            <v>1552</v>
          </cell>
        </row>
        <row r="28">
          <cell r="A28" t="str">
            <v>SANGAREDDY</v>
          </cell>
          <cell r="B28">
            <v>537</v>
          </cell>
          <cell r="C28">
            <v>57840</v>
          </cell>
          <cell r="D28">
            <v>392</v>
          </cell>
        </row>
        <row r="29">
          <cell r="A29" t="str">
            <v>SIDDIPET</v>
          </cell>
          <cell r="B29">
            <v>12</v>
          </cell>
          <cell r="C29">
            <v>37673</v>
          </cell>
          <cell r="D29">
            <v>100</v>
          </cell>
        </row>
        <row r="30">
          <cell r="A30" t="str">
            <v>SURYAPET</v>
          </cell>
          <cell r="B30">
            <v>1485</v>
          </cell>
          <cell r="C30">
            <v>29390</v>
          </cell>
          <cell r="D30">
            <v>301</v>
          </cell>
        </row>
        <row r="31">
          <cell r="A31" t="str">
            <v>VIKARABAD</v>
          </cell>
          <cell r="B31">
            <v>2232</v>
          </cell>
          <cell r="C31">
            <v>44156</v>
          </cell>
          <cell r="D31">
            <v>68</v>
          </cell>
        </row>
        <row r="32">
          <cell r="A32" t="str">
            <v>WANAPARTHY</v>
          </cell>
          <cell r="B32">
            <v>176</v>
          </cell>
          <cell r="C32">
            <v>23453</v>
          </cell>
        </row>
        <row r="33">
          <cell r="A33" t="str">
            <v xml:space="preserve">WARANGAL (R) </v>
          </cell>
          <cell r="B33">
            <v>59</v>
          </cell>
          <cell r="C33">
            <v>17916</v>
          </cell>
          <cell r="D33">
            <v>23</v>
          </cell>
        </row>
        <row r="34">
          <cell r="A34" t="str">
            <v>WARANGAL (U)</v>
          </cell>
          <cell r="B34">
            <v>1849</v>
          </cell>
          <cell r="C34">
            <v>19432</v>
          </cell>
          <cell r="D34">
            <v>1204</v>
          </cell>
        </row>
        <row r="35">
          <cell r="A35" t="str">
            <v>YADADRI</v>
          </cell>
          <cell r="B35">
            <v>244</v>
          </cell>
          <cell r="C35">
            <v>19189</v>
          </cell>
          <cell r="D35">
            <v>136</v>
          </cell>
        </row>
        <row r="36">
          <cell r="A36" t="str">
            <v>Grand Total</v>
          </cell>
          <cell r="B36">
            <v>51551</v>
          </cell>
          <cell r="C36">
            <v>1075764</v>
          </cell>
          <cell r="D36">
            <v>8855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="90" zoomScaleNormal="70" zoomScaleSheetLayoutView="90" workbookViewId="0">
      <selection activeCell="Q12" sqref="Q12"/>
    </sheetView>
  </sheetViews>
  <sheetFormatPr defaultRowHeight="12.75"/>
  <cols>
    <col min="15" max="15" width="12.42578125" customWidth="1"/>
  </cols>
  <sheetData/>
  <printOptions horizontalCentered="1"/>
  <pageMargins left="0.34" right="0.21" top="0.47" bottom="0" header="0.55000000000000004" footer="0.2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topLeftCell="A31" zoomScale="80" zoomScaleNormal="70" zoomScaleSheetLayoutView="80" workbookViewId="0">
      <selection activeCell="J15" sqref="J15"/>
    </sheetView>
  </sheetViews>
  <sheetFormatPr defaultRowHeight="12.75"/>
  <cols>
    <col min="1" max="1" width="9.140625" style="173"/>
    <col min="2" max="2" width="21.7109375" style="173" customWidth="1"/>
    <col min="3" max="3" width="11.28515625" style="173" customWidth="1"/>
    <col min="4" max="4" width="9.140625" style="173"/>
    <col min="5" max="5" width="9.5703125" style="173" customWidth="1"/>
    <col min="6" max="6" width="9.85546875" style="173" customWidth="1"/>
    <col min="7" max="7" width="8.85546875" style="173" customWidth="1"/>
    <col min="8" max="8" width="10.5703125" style="173" customWidth="1"/>
    <col min="9" max="9" width="9.85546875" style="173" customWidth="1"/>
    <col min="10" max="10" width="9.140625" style="173"/>
    <col min="11" max="11" width="11.85546875" style="173" customWidth="1"/>
    <col min="12" max="12" width="9.42578125" style="173" customWidth="1"/>
    <col min="13" max="13" width="12" style="173" customWidth="1"/>
    <col min="14" max="14" width="14.140625" style="173" customWidth="1"/>
    <col min="15" max="16384" width="9.140625" style="173"/>
  </cols>
  <sheetData>
    <row r="1" spans="1:19" ht="12.75" customHeight="1">
      <c r="D1" s="700"/>
      <c r="E1" s="700"/>
      <c r="F1" s="700"/>
      <c r="G1" s="700"/>
      <c r="H1" s="700"/>
      <c r="I1" s="700"/>
      <c r="J1" s="700"/>
      <c r="M1" s="169" t="s">
        <v>250</v>
      </c>
    </row>
    <row r="2" spans="1:19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</row>
    <row r="3" spans="1:19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19" ht="4.5" customHeight="1"/>
    <row r="5" spans="1:19" ht="15.75">
      <c r="A5" s="704" t="s">
        <v>763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</row>
    <row r="6" spans="1:19" ht="6.75" customHeight="1"/>
    <row r="7" spans="1:19" s="5" customFormat="1">
      <c r="A7" s="21" t="s">
        <v>658</v>
      </c>
      <c r="B7" s="21"/>
      <c r="L7" s="799" t="s">
        <v>774</v>
      </c>
      <c r="M7" s="799"/>
      <c r="N7" s="799"/>
    </row>
    <row r="8" spans="1:19" ht="15.75" customHeight="1">
      <c r="A8" s="795" t="s">
        <v>2</v>
      </c>
      <c r="B8" s="795" t="s">
        <v>3</v>
      </c>
      <c r="C8" s="695" t="s">
        <v>4</v>
      </c>
      <c r="D8" s="695"/>
      <c r="E8" s="695"/>
      <c r="F8" s="681"/>
      <c r="G8" s="681"/>
      <c r="H8" s="695" t="s">
        <v>97</v>
      </c>
      <c r="I8" s="695"/>
      <c r="J8" s="695"/>
      <c r="K8" s="695"/>
      <c r="L8" s="695"/>
      <c r="M8" s="795" t="s">
        <v>130</v>
      </c>
      <c r="N8" s="668" t="s">
        <v>131</v>
      </c>
    </row>
    <row r="9" spans="1:19" ht="51">
      <c r="A9" s="796"/>
      <c r="B9" s="796"/>
      <c r="C9" s="150" t="s">
        <v>5</v>
      </c>
      <c r="D9" s="150" t="s">
        <v>6</v>
      </c>
      <c r="E9" s="150" t="s">
        <v>347</v>
      </c>
      <c r="F9" s="150" t="s">
        <v>95</v>
      </c>
      <c r="G9" s="150" t="s">
        <v>113</v>
      </c>
      <c r="H9" s="150" t="s">
        <v>5</v>
      </c>
      <c r="I9" s="150" t="s">
        <v>6</v>
      </c>
      <c r="J9" s="150" t="s">
        <v>347</v>
      </c>
      <c r="K9" s="152" t="s">
        <v>95</v>
      </c>
      <c r="L9" s="152" t="s">
        <v>114</v>
      </c>
      <c r="M9" s="796"/>
      <c r="N9" s="668"/>
      <c r="R9" s="8"/>
      <c r="S9" s="10"/>
    </row>
    <row r="10" spans="1:19" s="5" customFormat="1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  <c r="I10" s="150">
        <v>9</v>
      </c>
      <c r="J10" s="150">
        <v>10</v>
      </c>
      <c r="K10" s="144">
        <v>11</v>
      </c>
      <c r="L10" s="54">
        <v>12</v>
      </c>
      <c r="M10" s="54">
        <v>13</v>
      </c>
      <c r="N10" s="144">
        <v>14</v>
      </c>
    </row>
    <row r="11" spans="1:19">
      <c r="A11" s="204">
        <v>1</v>
      </c>
      <c r="B11" s="204" t="s">
        <v>624</v>
      </c>
      <c r="C11" s="8">
        <v>108</v>
      </c>
      <c r="D11" s="8">
        <v>2</v>
      </c>
      <c r="E11" s="8">
        <v>0</v>
      </c>
      <c r="F11" s="8">
        <v>1</v>
      </c>
      <c r="G11" s="8">
        <f>SUM(C11:F11)</f>
        <v>111</v>
      </c>
      <c r="H11" s="8">
        <v>108</v>
      </c>
      <c r="I11" s="8">
        <v>2</v>
      </c>
      <c r="J11" s="8">
        <v>0</v>
      </c>
      <c r="K11" s="8">
        <v>1</v>
      </c>
      <c r="L11" s="8">
        <f>SUM(H11:K11)</f>
        <v>111</v>
      </c>
      <c r="M11" s="8">
        <f>G11-L11</f>
        <v>0</v>
      </c>
      <c r="N11" s="8"/>
    </row>
    <row r="12" spans="1:19">
      <c r="A12" s="204">
        <f>A11+1</f>
        <v>2</v>
      </c>
      <c r="B12" s="204" t="s">
        <v>589</v>
      </c>
      <c r="C12" s="8">
        <v>108</v>
      </c>
      <c r="D12" s="8">
        <v>10</v>
      </c>
      <c r="E12" s="8">
        <v>0</v>
      </c>
      <c r="F12" s="8">
        <v>0</v>
      </c>
      <c r="G12" s="546">
        <f t="shared" ref="G12:G34" si="0">SUM(C12:F12)</f>
        <v>118</v>
      </c>
      <c r="H12" s="8">
        <v>108</v>
      </c>
      <c r="I12" s="8">
        <v>10</v>
      </c>
      <c r="J12" s="546">
        <v>0</v>
      </c>
      <c r="K12" s="8">
        <v>0</v>
      </c>
      <c r="L12" s="546">
        <f t="shared" ref="L12:L34" si="1">SUM(H12:K12)</f>
        <v>118</v>
      </c>
      <c r="M12" s="546">
        <f t="shared" ref="M12:M34" si="2">G12-L12</f>
        <v>0</v>
      </c>
      <c r="N12" s="8"/>
      <c r="P12" s="610"/>
    </row>
    <row r="13" spans="1:19">
      <c r="A13" s="204">
        <f t="shared" ref="A13:A43" si="3">A12+1</f>
        <v>3</v>
      </c>
      <c r="B13" s="204" t="s">
        <v>625</v>
      </c>
      <c r="C13" s="8">
        <v>183</v>
      </c>
      <c r="D13" s="8">
        <v>114</v>
      </c>
      <c r="E13" s="8">
        <v>0</v>
      </c>
      <c r="F13" s="8">
        <v>0</v>
      </c>
      <c r="G13" s="546">
        <f t="shared" si="0"/>
        <v>297</v>
      </c>
      <c r="H13" s="8">
        <v>180</v>
      </c>
      <c r="I13" s="8">
        <v>77</v>
      </c>
      <c r="J13" s="546">
        <v>0</v>
      </c>
      <c r="K13" s="546">
        <v>0</v>
      </c>
      <c r="L13" s="546">
        <v>257</v>
      </c>
      <c r="M13" s="546">
        <f t="shared" si="2"/>
        <v>40</v>
      </c>
      <c r="N13" s="70"/>
      <c r="P13" s="610"/>
    </row>
    <row r="14" spans="1:19">
      <c r="A14" s="204">
        <f t="shared" si="3"/>
        <v>4</v>
      </c>
      <c r="B14" s="204" t="s">
        <v>590</v>
      </c>
      <c r="C14" s="8">
        <v>200</v>
      </c>
      <c r="D14" s="8">
        <v>0</v>
      </c>
      <c r="E14" s="8">
        <v>0</v>
      </c>
      <c r="F14" s="8">
        <v>0</v>
      </c>
      <c r="G14" s="546">
        <f t="shared" si="0"/>
        <v>200</v>
      </c>
      <c r="H14" s="8">
        <v>200</v>
      </c>
      <c r="I14" s="8">
        <v>0</v>
      </c>
      <c r="J14" s="546">
        <v>0</v>
      </c>
      <c r="K14" s="546">
        <v>0</v>
      </c>
      <c r="L14" s="546">
        <f t="shared" si="1"/>
        <v>200</v>
      </c>
      <c r="M14" s="546">
        <f t="shared" si="2"/>
        <v>0</v>
      </c>
      <c r="N14" s="8"/>
      <c r="P14" s="610"/>
    </row>
    <row r="15" spans="1:19">
      <c r="A15" s="204">
        <f t="shared" si="3"/>
        <v>5</v>
      </c>
      <c r="B15" s="204" t="s">
        <v>591</v>
      </c>
      <c r="C15" s="8">
        <v>119</v>
      </c>
      <c r="D15" s="8">
        <v>3</v>
      </c>
      <c r="E15" s="8">
        <v>0</v>
      </c>
      <c r="F15" s="8">
        <v>0</v>
      </c>
      <c r="G15" s="546">
        <f t="shared" si="0"/>
        <v>122</v>
      </c>
      <c r="H15" s="8">
        <v>119</v>
      </c>
      <c r="I15" s="8">
        <v>3</v>
      </c>
      <c r="J15" s="546">
        <v>0</v>
      </c>
      <c r="K15" s="546">
        <v>0</v>
      </c>
      <c r="L15" s="546">
        <f t="shared" si="1"/>
        <v>122</v>
      </c>
      <c r="M15" s="546">
        <f t="shared" si="2"/>
        <v>0</v>
      </c>
      <c r="N15" s="8"/>
      <c r="P15" s="610"/>
    </row>
    <row r="16" spans="1:19">
      <c r="A16" s="204">
        <f t="shared" si="3"/>
        <v>6</v>
      </c>
      <c r="B16" s="204" t="s">
        <v>592</v>
      </c>
      <c r="C16" s="8">
        <v>75</v>
      </c>
      <c r="D16" s="8">
        <v>0</v>
      </c>
      <c r="E16" s="8">
        <v>0</v>
      </c>
      <c r="F16" s="8">
        <v>0</v>
      </c>
      <c r="G16" s="546">
        <f t="shared" si="0"/>
        <v>75</v>
      </c>
      <c r="H16" s="8">
        <v>75</v>
      </c>
      <c r="I16" s="8">
        <v>0</v>
      </c>
      <c r="J16" s="546">
        <v>0</v>
      </c>
      <c r="K16" s="546">
        <v>0</v>
      </c>
      <c r="L16" s="546">
        <f t="shared" si="1"/>
        <v>75</v>
      </c>
      <c r="M16" s="546">
        <f t="shared" si="2"/>
        <v>0</v>
      </c>
      <c r="N16" s="8"/>
      <c r="P16" s="610"/>
    </row>
    <row r="17" spans="1:16">
      <c r="A17" s="204">
        <f t="shared" si="3"/>
        <v>7</v>
      </c>
      <c r="B17" s="204" t="s">
        <v>593</v>
      </c>
      <c r="C17" s="8">
        <v>85</v>
      </c>
      <c r="D17" s="8">
        <v>2</v>
      </c>
      <c r="E17" s="8">
        <v>0</v>
      </c>
      <c r="F17" s="8">
        <v>0</v>
      </c>
      <c r="G17" s="546">
        <f t="shared" si="0"/>
        <v>87</v>
      </c>
      <c r="H17" s="8">
        <v>85</v>
      </c>
      <c r="I17" s="8">
        <v>2</v>
      </c>
      <c r="J17" s="546">
        <v>0</v>
      </c>
      <c r="K17" s="546">
        <v>0</v>
      </c>
      <c r="L17" s="546">
        <f t="shared" si="1"/>
        <v>87</v>
      </c>
      <c r="M17" s="546">
        <f t="shared" si="2"/>
        <v>0</v>
      </c>
      <c r="N17" s="8"/>
      <c r="P17" s="610"/>
    </row>
    <row r="18" spans="1:16">
      <c r="A18" s="204">
        <f t="shared" si="3"/>
        <v>8</v>
      </c>
      <c r="B18" s="204" t="s">
        <v>594</v>
      </c>
      <c r="C18" s="8">
        <v>190</v>
      </c>
      <c r="D18" s="8">
        <v>2</v>
      </c>
      <c r="E18" s="8">
        <v>0</v>
      </c>
      <c r="F18" s="8">
        <v>0</v>
      </c>
      <c r="G18" s="546">
        <f t="shared" si="0"/>
        <v>192</v>
      </c>
      <c r="H18" s="8">
        <v>190</v>
      </c>
      <c r="I18" s="8">
        <v>2</v>
      </c>
      <c r="J18" s="546">
        <v>0</v>
      </c>
      <c r="K18" s="546">
        <v>0</v>
      </c>
      <c r="L18" s="546">
        <f t="shared" si="1"/>
        <v>192</v>
      </c>
      <c r="M18" s="546">
        <f t="shared" si="2"/>
        <v>0</v>
      </c>
      <c r="N18" s="8"/>
      <c r="P18" s="610"/>
    </row>
    <row r="19" spans="1:16">
      <c r="A19" s="204">
        <f t="shared" si="3"/>
        <v>9</v>
      </c>
      <c r="B19" s="204" t="s">
        <v>595</v>
      </c>
      <c r="C19" s="8">
        <v>162</v>
      </c>
      <c r="D19" s="8">
        <v>4</v>
      </c>
      <c r="E19" s="8">
        <v>0</v>
      </c>
      <c r="F19" s="8">
        <v>0</v>
      </c>
      <c r="G19" s="546">
        <f t="shared" si="0"/>
        <v>166</v>
      </c>
      <c r="H19" s="8">
        <v>162</v>
      </c>
      <c r="I19" s="8">
        <v>4</v>
      </c>
      <c r="J19" s="546">
        <v>0</v>
      </c>
      <c r="K19" s="546">
        <v>0</v>
      </c>
      <c r="L19" s="546">
        <f t="shared" si="1"/>
        <v>166</v>
      </c>
      <c r="M19" s="546">
        <f t="shared" si="2"/>
        <v>0</v>
      </c>
      <c r="N19" s="8"/>
      <c r="P19" s="610"/>
    </row>
    <row r="20" spans="1:16">
      <c r="A20" s="204">
        <f t="shared" si="3"/>
        <v>10</v>
      </c>
      <c r="B20" s="204" t="s">
        <v>596</v>
      </c>
      <c r="C20" s="8">
        <v>213</v>
      </c>
      <c r="D20" s="8">
        <v>8</v>
      </c>
      <c r="E20" s="8">
        <v>0</v>
      </c>
      <c r="F20" s="8">
        <v>0</v>
      </c>
      <c r="G20" s="546">
        <f t="shared" si="0"/>
        <v>221</v>
      </c>
      <c r="H20" s="8">
        <v>213</v>
      </c>
      <c r="I20" s="8">
        <v>8</v>
      </c>
      <c r="J20" s="546">
        <v>0</v>
      </c>
      <c r="K20" s="546">
        <v>0</v>
      </c>
      <c r="L20" s="546">
        <f t="shared" si="1"/>
        <v>221</v>
      </c>
      <c r="M20" s="546">
        <f t="shared" si="2"/>
        <v>0</v>
      </c>
      <c r="N20" s="8"/>
      <c r="P20" s="610"/>
    </row>
    <row r="21" spans="1:16">
      <c r="A21" s="204">
        <f t="shared" si="3"/>
        <v>11</v>
      </c>
      <c r="B21" s="204" t="s">
        <v>626</v>
      </c>
      <c r="C21" s="8">
        <v>60</v>
      </c>
      <c r="D21" s="8">
        <v>2</v>
      </c>
      <c r="E21" s="8">
        <v>0</v>
      </c>
      <c r="F21" s="8">
        <v>0</v>
      </c>
      <c r="G21" s="546">
        <f t="shared" si="0"/>
        <v>62</v>
      </c>
      <c r="H21" s="8">
        <v>60</v>
      </c>
      <c r="I21" s="8">
        <v>2</v>
      </c>
      <c r="J21" s="546">
        <v>0</v>
      </c>
      <c r="K21" s="546">
        <v>0</v>
      </c>
      <c r="L21" s="546">
        <f t="shared" si="1"/>
        <v>62</v>
      </c>
      <c r="M21" s="546">
        <f t="shared" si="2"/>
        <v>0</v>
      </c>
      <c r="N21" s="8"/>
      <c r="P21" s="610"/>
    </row>
    <row r="22" spans="1:16">
      <c r="A22" s="204">
        <f t="shared" si="3"/>
        <v>12</v>
      </c>
      <c r="B22" s="204" t="s">
        <v>597</v>
      </c>
      <c r="C22" s="8">
        <v>109</v>
      </c>
      <c r="D22" s="8">
        <v>2</v>
      </c>
      <c r="E22" s="8">
        <v>0</v>
      </c>
      <c r="F22" s="8">
        <v>0</v>
      </c>
      <c r="G22" s="546">
        <f t="shared" si="0"/>
        <v>111</v>
      </c>
      <c r="H22" s="8">
        <v>109</v>
      </c>
      <c r="I22" s="8">
        <v>2</v>
      </c>
      <c r="J22" s="546">
        <v>0</v>
      </c>
      <c r="K22" s="546">
        <v>0</v>
      </c>
      <c r="L22" s="546">
        <f t="shared" si="1"/>
        <v>111</v>
      </c>
      <c r="M22" s="546">
        <f t="shared" si="2"/>
        <v>0</v>
      </c>
      <c r="N22" s="8"/>
      <c r="P22" s="610"/>
    </row>
    <row r="23" spans="1:16">
      <c r="A23" s="204">
        <f t="shared" si="3"/>
        <v>13</v>
      </c>
      <c r="B23" s="204" t="s">
        <v>598</v>
      </c>
      <c r="C23" s="8">
        <v>140</v>
      </c>
      <c r="D23" s="8">
        <v>4</v>
      </c>
      <c r="E23" s="8">
        <v>0</v>
      </c>
      <c r="F23" s="8">
        <v>0</v>
      </c>
      <c r="G23" s="546">
        <f t="shared" si="0"/>
        <v>144</v>
      </c>
      <c r="H23" s="8">
        <v>140</v>
      </c>
      <c r="I23" s="8">
        <v>4</v>
      </c>
      <c r="J23" s="546">
        <v>0</v>
      </c>
      <c r="K23" s="546">
        <v>0</v>
      </c>
      <c r="L23" s="546">
        <f t="shared" si="1"/>
        <v>144</v>
      </c>
      <c r="M23" s="546">
        <f t="shared" si="2"/>
        <v>0</v>
      </c>
      <c r="N23" s="8"/>
      <c r="P23" s="610"/>
    </row>
    <row r="24" spans="1:16">
      <c r="A24" s="204">
        <f t="shared" si="3"/>
        <v>14</v>
      </c>
      <c r="B24" s="204" t="s">
        <v>627</v>
      </c>
      <c r="C24" s="8">
        <v>113</v>
      </c>
      <c r="D24" s="8">
        <v>8</v>
      </c>
      <c r="E24" s="8">
        <v>0</v>
      </c>
      <c r="F24" s="8">
        <v>0</v>
      </c>
      <c r="G24" s="546">
        <f t="shared" si="0"/>
        <v>121</v>
      </c>
      <c r="H24" s="8">
        <v>113</v>
      </c>
      <c r="I24" s="8">
        <v>8</v>
      </c>
      <c r="J24" s="546">
        <v>0</v>
      </c>
      <c r="K24" s="546">
        <v>0</v>
      </c>
      <c r="L24" s="546">
        <f t="shared" si="1"/>
        <v>121</v>
      </c>
      <c r="M24" s="546">
        <f t="shared" si="2"/>
        <v>0</v>
      </c>
      <c r="N24" s="8"/>
      <c r="P24" s="610"/>
    </row>
    <row r="25" spans="1:16">
      <c r="A25" s="204">
        <f t="shared" si="3"/>
        <v>15</v>
      </c>
      <c r="B25" s="204" t="s">
        <v>599</v>
      </c>
      <c r="C25" s="8">
        <v>151</v>
      </c>
      <c r="D25" s="8">
        <v>1</v>
      </c>
      <c r="E25" s="8">
        <v>0</v>
      </c>
      <c r="F25" s="8">
        <v>0</v>
      </c>
      <c r="G25" s="546">
        <f t="shared" si="0"/>
        <v>152</v>
      </c>
      <c r="H25" s="8">
        <v>151</v>
      </c>
      <c r="I25" s="8">
        <v>1</v>
      </c>
      <c r="J25" s="546">
        <v>0</v>
      </c>
      <c r="K25" s="546">
        <v>0</v>
      </c>
      <c r="L25" s="546">
        <f t="shared" si="1"/>
        <v>152</v>
      </c>
      <c r="M25" s="546">
        <f t="shared" si="2"/>
        <v>0</v>
      </c>
      <c r="N25" s="8"/>
      <c r="P25" s="610"/>
    </row>
    <row r="26" spans="1:16">
      <c r="A26" s="204">
        <f t="shared" si="3"/>
        <v>16</v>
      </c>
      <c r="B26" s="204" t="s">
        <v>600</v>
      </c>
      <c r="C26" s="8">
        <v>108</v>
      </c>
      <c r="D26" s="8">
        <v>2</v>
      </c>
      <c r="E26" s="8">
        <v>0</v>
      </c>
      <c r="F26" s="8">
        <v>0</v>
      </c>
      <c r="G26" s="546">
        <f t="shared" si="0"/>
        <v>110</v>
      </c>
      <c r="H26" s="8">
        <v>108</v>
      </c>
      <c r="I26" s="8">
        <v>2</v>
      </c>
      <c r="J26" s="546">
        <v>0</v>
      </c>
      <c r="K26" s="546">
        <v>0</v>
      </c>
      <c r="L26" s="546">
        <f t="shared" si="1"/>
        <v>110</v>
      </c>
      <c r="M26" s="546">
        <f t="shared" si="2"/>
        <v>0</v>
      </c>
      <c r="N26" s="8"/>
      <c r="P26" s="610"/>
    </row>
    <row r="27" spans="1:16" s="527" customFormat="1">
      <c r="A27" s="204">
        <f t="shared" si="3"/>
        <v>17</v>
      </c>
      <c r="B27" s="529" t="s">
        <v>684</v>
      </c>
      <c r="C27" s="8">
        <v>43</v>
      </c>
      <c r="D27" s="8">
        <v>0</v>
      </c>
      <c r="E27" s="8">
        <v>0</v>
      </c>
      <c r="F27" s="8">
        <v>0</v>
      </c>
      <c r="G27" s="546">
        <f t="shared" si="0"/>
        <v>43</v>
      </c>
      <c r="H27" s="8">
        <v>43</v>
      </c>
      <c r="I27" s="8">
        <v>0</v>
      </c>
      <c r="J27" s="546">
        <v>0</v>
      </c>
      <c r="K27" s="546">
        <v>0</v>
      </c>
      <c r="L27" s="546">
        <f t="shared" si="1"/>
        <v>43</v>
      </c>
      <c r="M27" s="546">
        <f t="shared" si="2"/>
        <v>0</v>
      </c>
      <c r="N27" s="8"/>
      <c r="P27" s="610"/>
    </row>
    <row r="28" spans="1:16">
      <c r="A28" s="204">
        <f t="shared" si="3"/>
        <v>18</v>
      </c>
      <c r="B28" s="204" t="s">
        <v>601</v>
      </c>
      <c r="C28" s="8">
        <v>131</v>
      </c>
      <c r="D28" s="8">
        <v>4</v>
      </c>
      <c r="E28" s="8">
        <v>0</v>
      </c>
      <c r="F28" s="8">
        <v>0</v>
      </c>
      <c r="G28" s="546">
        <f t="shared" si="0"/>
        <v>135</v>
      </c>
      <c r="H28" s="8">
        <v>131</v>
      </c>
      <c r="I28" s="8">
        <v>4</v>
      </c>
      <c r="J28" s="546">
        <v>0</v>
      </c>
      <c r="K28" s="546">
        <v>0</v>
      </c>
      <c r="L28" s="546">
        <f t="shared" si="1"/>
        <v>135</v>
      </c>
      <c r="M28" s="546">
        <f t="shared" si="2"/>
        <v>0</v>
      </c>
      <c r="N28" s="8"/>
      <c r="P28" s="610"/>
    </row>
    <row r="29" spans="1:16">
      <c r="A29" s="204">
        <f t="shared" si="3"/>
        <v>19</v>
      </c>
      <c r="B29" s="204" t="s">
        <v>602</v>
      </c>
      <c r="C29" s="8">
        <v>247</v>
      </c>
      <c r="D29" s="8">
        <v>13</v>
      </c>
      <c r="E29" s="8">
        <v>0</v>
      </c>
      <c r="F29" s="8">
        <v>0</v>
      </c>
      <c r="G29" s="546">
        <f t="shared" si="0"/>
        <v>260</v>
      </c>
      <c r="H29" s="8">
        <v>247</v>
      </c>
      <c r="I29" s="8">
        <v>13</v>
      </c>
      <c r="J29" s="546">
        <v>0</v>
      </c>
      <c r="K29" s="546">
        <v>0</v>
      </c>
      <c r="L29" s="546">
        <f t="shared" si="1"/>
        <v>260</v>
      </c>
      <c r="M29" s="546">
        <f t="shared" si="2"/>
        <v>0</v>
      </c>
      <c r="N29" s="8"/>
      <c r="P29" s="610"/>
    </row>
    <row r="30" spans="1:16" s="527" customFormat="1">
      <c r="A30" s="204">
        <f t="shared" si="3"/>
        <v>20</v>
      </c>
      <c r="B30" s="529" t="s">
        <v>683</v>
      </c>
      <c r="C30" s="8">
        <v>79</v>
      </c>
      <c r="D30" s="8">
        <v>3</v>
      </c>
      <c r="E30" s="8">
        <v>0</v>
      </c>
      <c r="F30" s="8">
        <v>0</v>
      </c>
      <c r="G30" s="546">
        <f t="shared" si="0"/>
        <v>82</v>
      </c>
      <c r="H30" s="8">
        <v>79</v>
      </c>
      <c r="I30" s="8">
        <v>3</v>
      </c>
      <c r="J30" s="546">
        <v>0</v>
      </c>
      <c r="K30" s="546">
        <v>0</v>
      </c>
      <c r="L30" s="546">
        <f t="shared" si="1"/>
        <v>82</v>
      </c>
      <c r="M30" s="546">
        <f t="shared" si="2"/>
        <v>0</v>
      </c>
      <c r="N30" s="8"/>
      <c r="P30" s="610"/>
    </row>
    <row r="31" spans="1:16">
      <c r="A31" s="204">
        <f t="shared" si="3"/>
        <v>21</v>
      </c>
      <c r="B31" s="529" t="s">
        <v>628</v>
      </c>
      <c r="C31" s="8">
        <v>118</v>
      </c>
      <c r="D31" s="8">
        <v>1</v>
      </c>
      <c r="E31" s="8">
        <v>0</v>
      </c>
      <c r="F31" s="8">
        <v>0</v>
      </c>
      <c r="G31" s="546">
        <f t="shared" si="0"/>
        <v>119</v>
      </c>
      <c r="H31" s="8">
        <v>118</v>
      </c>
      <c r="I31" s="8">
        <v>1</v>
      </c>
      <c r="J31" s="546">
        <v>0</v>
      </c>
      <c r="K31" s="546">
        <v>0</v>
      </c>
      <c r="L31" s="546">
        <f t="shared" si="1"/>
        <v>119</v>
      </c>
      <c r="M31" s="546">
        <f t="shared" si="2"/>
        <v>0</v>
      </c>
      <c r="N31" s="8"/>
      <c r="P31" s="610"/>
    </row>
    <row r="32" spans="1:16">
      <c r="A32" s="204">
        <f t="shared" si="3"/>
        <v>22</v>
      </c>
      <c r="B32" s="204" t="s">
        <v>603</v>
      </c>
      <c r="C32" s="8">
        <v>261</v>
      </c>
      <c r="D32" s="8">
        <v>15</v>
      </c>
      <c r="E32" s="8">
        <v>0</v>
      </c>
      <c r="F32" s="8">
        <v>0</v>
      </c>
      <c r="G32" s="546">
        <f t="shared" si="0"/>
        <v>276</v>
      </c>
      <c r="H32" s="8">
        <v>261</v>
      </c>
      <c r="I32" s="8">
        <v>15</v>
      </c>
      <c r="J32" s="546">
        <v>0</v>
      </c>
      <c r="K32" s="546">
        <v>0</v>
      </c>
      <c r="L32" s="546">
        <f t="shared" si="1"/>
        <v>276</v>
      </c>
      <c r="M32" s="546">
        <f t="shared" si="2"/>
        <v>0</v>
      </c>
      <c r="N32" s="8"/>
      <c r="P32" s="610"/>
    </row>
    <row r="33" spans="1:16">
      <c r="A33" s="204">
        <f t="shared" si="3"/>
        <v>23</v>
      </c>
      <c r="B33" s="204" t="s">
        <v>604</v>
      </c>
      <c r="C33" s="8">
        <v>111</v>
      </c>
      <c r="D33" s="8">
        <v>3</v>
      </c>
      <c r="E33" s="8">
        <v>0</v>
      </c>
      <c r="F33" s="8">
        <v>0</v>
      </c>
      <c r="G33" s="546">
        <f t="shared" si="0"/>
        <v>114</v>
      </c>
      <c r="H33" s="8">
        <v>111</v>
      </c>
      <c r="I33" s="8">
        <v>3</v>
      </c>
      <c r="J33" s="8">
        <v>0</v>
      </c>
      <c r="K33" s="546">
        <v>0</v>
      </c>
      <c r="L33" s="546">
        <f t="shared" si="1"/>
        <v>114</v>
      </c>
      <c r="M33" s="546">
        <f t="shared" si="2"/>
        <v>0</v>
      </c>
      <c r="N33" s="8"/>
      <c r="P33" s="610"/>
    </row>
    <row r="34" spans="1:16">
      <c r="A34" s="204">
        <f t="shared" si="3"/>
        <v>24</v>
      </c>
      <c r="B34" s="204" t="s">
        <v>605</v>
      </c>
      <c r="C34" s="8">
        <v>119</v>
      </c>
      <c r="D34" s="8">
        <v>2</v>
      </c>
      <c r="E34" s="8">
        <v>0</v>
      </c>
      <c r="F34" s="8">
        <v>0</v>
      </c>
      <c r="G34" s="546">
        <f t="shared" si="0"/>
        <v>121</v>
      </c>
      <c r="H34" s="8">
        <v>119</v>
      </c>
      <c r="I34" s="8">
        <v>2</v>
      </c>
      <c r="J34" s="8">
        <v>0</v>
      </c>
      <c r="K34" s="546">
        <v>0</v>
      </c>
      <c r="L34" s="546">
        <f t="shared" si="1"/>
        <v>121</v>
      </c>
      <c r="M34" s="546">
        <f t="shared" si="2"/>
        <v>0</v>
      </c>
      <c r="N34" s="8"/>
      <c r="P34" s="610"/>
    </row>
    <row r="35" spans="1:16">
      <c r="A35" s="204">
        <f t="shared" si="3"/>
        <v>25</v>
      </c>
      <c r="B35" s="204" t="s">
        <v>606</v>
      </c>
      <c r="C35" s="8">
        <v>250</v>
      </c>
      <c r="D35" s="8">
        <v>4</v>
      </c>
      <c r="E35" s="8">
        <v>0</v>
      </c>
      <c r="F35" s="8">
        <v>1</v>
      </c>
      <c r="G35" s="8">
        <f t="shared" ref="G35:G43" si="4">SUM(C35:F35)</f>
        <v>255</v>
      </c>
      <c r="H35" s="8">
        <v>250</v>
      </c>
      <c r="I35" s="8">
        <v>4</v>
      </c>
      <c r="J35" s="8">
        <v>0</v>
      </c>
      <c r="K35" s="8">
        <v>1</v>
      </c>
      <c r="L35" s="8">
        <f t="shared" ref="L35:L43" si="5">SUM(H35:K35)</f>
        <v>255</v>
      </c>
      <c r="M35" s="8">
        <f t="shared" ref="M35:M43" si="6">G35-L35</f>
        <v>0</v>
      </c>
      <c r="N35" s="8"/>
      <c r="P35" s="610"/>
    </row>
    <row r="36" spans="1:16">
      <c r="A36" s="204">
        <f t="shared" si="3"/>
        <v>26</v>
      </c>
      <c r="B36" s="204" t="s">
        <v>607</v>
      </c>
      <c r="C36" s="8">
        <v>217</v>
      </c>
      <c r="D36" s="8">
        <v>2</v>
      </c>
      <c r="E36" s="8">
        <v>0</v>
      </c>
      <c r="F36" s="8">
        <v>0</v>
      </c>
      <c r="G36" s="8">
        <f t="shared" si="4"/>
        <v>219</v>
      </c>
      <c r="H36" s="8">
        <v>217</v>
      </c>
      <c r="I36" s="8">
        <v>2</v>
      </c>
      <c r="J36" s="8">
        <v>0</v>
      </c>
      <c r="K36" s="8">
        <v>0</v>
      </c>
      <c r="L36" s="8">
        <f t="shared" si="5"/>
        <v>219</v>
      </c>
      <c r="M36" s="8">
        <f t="shared" si="6"/>
        <v>0</v>
      </c>
      <c r="N36" s="8"/>
      <c r="P36" s="610"/>
    </row>
    <row r="37" spans="1:16">
      <c r="A37" s="204">
        <f t="shared" si="3"/>
        <v>27</v>
      </c>
      <c r="B37" s="204" t="s">
        <v>608</v>
      </c>
      <c r="C37" s="8">
        <v>241</v>
      </c>
      <c r="D37" s="8">
        <v>1</v>
      </c>
      <c r="E37" s="8">
        <v>0</v>
      </c>
      <c r="F37" s="8">
        <v>0</v>
      </c>
      <c r="G37" s="8">
        <f t="shared" si="4"/>
        <v>242</v>
      </c>
      <c r="H37" s="8">
        <v>241</v>
      </c>
      <c r="I37" s="16">
        <v>1</v>
      </c>
      <c r="J37" s="8">
        <v>0</v>
      </c>
      <c r="K37" s="546">
        <v>0</v>
      </c>
      <c r="L37" s="8">
        <f t="shared" si="5"/>
        <v>242</v>
      </c>
      <c r="M37" s="8">
        <f t="shared" si="6"/>
        <v>0</v>
      </c>
      <c r="N37" s="8"/>
      <c r="P37" s="610"/>
    </row>
    <row r="38" spans="1:16">
      <c r="A38" s="204">
        <f t="shared" si="3"/>
        <v>28</v>
      </c>
      <c r="B38" s="204" t="s">
        <v>609</v>
      </c>
      <c r="C38" s="8">
        <v>191</v>
      </c>
      <c r="D38" s="8">
        <v>6</v>
      </c>
      <c r="E38" s="8">
        <v>0</v>
      </c>
      <c r="F38" s="8">
        <v>0</v>
      </c>
      <c r="G38" s="8">
        <f t="shared" si="4"/>
        <v>197</v>
      </c>
      <c r="H38" s="8">
        <v>191</v>
      </c>
      <c r="I38" s="16">
        <v>6</v>
      </c>
      <c r="J38" s="8">
        <v>0</v>
      </c>
      <c r="K38" s="546">
        <v>0</v>
      </c>
      <c r="L38" s="8">
        <f t="shared" si="5"/>
        <v>197</v>
      </c>
      <c r="M38" s="8">
        <f t="shared" si="6"/>
        <v>0</v>
      </c>
      <c r="N38" s="8"/>
      <c r="P38" s="610"/>
    </row>
    <row r="39" spans="1:16">
      <c r="A39" s="204">
        <f t="shared" si="3"/>
        <v>29</v>
      </c>
      <c r="B39" s="204" t="s">
        <v>610</v>
      </c>
      <c r="C39" s="8">
        <v>179</v>
      </c>
      <c r="D39" s="8">
        <v>9</v>
      </c>
      <c r="E39" s="8">
        <v>0</v>
      </c>
      <c r="F39" s="8">
        <v>0</v>
      </c>
      <c r="G39" s="8">
        <f t="shared" si="4"/>
        <v>188</v>
      </c>
      <c r="H39" s="8">
        <v>179</v>
      </c>
      <c r="I39" s="16">
        <v>9</v>
      </c>
      <c r="J39" s="8">
        <v>0</v>
      </c>
      <c r="K39" s="546">
        <v>0</v>
      </c>
      <c r="L39" s="8">
        <f t="shared" si="5"/>
        <v>188</v>
      </c>
      <c r="M39" s="8">
        <f t="shared" si="6"/>
        <v>0</v>
      </c>
      <c r="N39" s="8"/>
      <c r="P39" s="610"/>
    </row>
    <row r="40" spans="1:16">
      <c r="A40" s="204">
        <f t="shared" si="3"/>
        <v>30</v>
      </c>
      <c r="B40" s="502" t="s">
        <v>611</v>
      </c>
      <c r="C40" s="8">
        <v>104</v>
      </c>
      <c r="D40" s="8">
        <v>1</v>
      </c>
      <c r="E40" s="8">
        <v>0</v>
      </c>
      <c r="F40" s="8">
        <v>0</v>
      </c>
      <c r="G40" s="8">
        <f t="shared" si="4"/>
        <v>105</v>
      </c>
      <c r="H40" s="8">
        <v>104</v>
      </c>
      <c r="I40" s="16">
        <v>1</v>
      </c>
      <c r="J40" s="8">
        <v>0</v>
      </c>
      <c r="K40" s="546">
        <v>0</v>
      </c>
      <c r="L40" s="8">
        <f t="shared" si="5"/>
        <v>105</v>
      </c>
      <c r="M40" s="8">
        <f t="shared" si="6"/>
        <v>0</v>
      </c>
      <c r="N40" s="8"/>
      <c r="P40" s="610"/>
    </row>
    <row r="41" spans="1:16">
      <c r="A41" s="204">
        <f t="shared" si="3"/>
        <v>31</v>
      </c>
      <c r="B41" s="502" t="s">
        <v>612</v>
      </c>
      <c r="C41" s="8">
        <v>138</v>
      </c>
      <c r="D41" s="8">
        <v>2</v>
      </c>
      <c r="E41" s="8">
        <v>0</v>
      </c>
      <c r="F41" s="8">
        <v>0</v>
      </c>
      <c r="G41" s="8">
        <f t="shared" si="4"/>
        <v>140</v>
      </c>
      <c r="H41" s="8">
        <v>138</v>
      </c>
      <c r="I41" s="16">
        <v>2</v>
      </c>
      <c r="J41" s="8">
        <v>0</v>
      </c>
      <c r="K41" s="546">
        <v>0</v>
      </c>
      <c r="L41" s="8">
        <f t="shared" si="5"/>
        <v>140</v>
      </c>
      <c r="M41" s="8">
        <f t="shared" si="6"/>
        <v>0</v>
      </c>
      <c r="N41" s="8"/>
      <c r="P41" s="610"/>
    </row>
    <row r="42" spans="1:16">
      <c r="A42" s="204">
        <f t="shared" si="3"/>
        <v>32</v>
      </c>
      <c r="B42" s="502" t="s">
        <v>613</v>
      </c>
      <c r="C42" s="8">
        <v>123</v>
      </c>
      <c r="D42" s="8">
        <v>15</v>
      </c>
      <c r="E42" s="8">
        <v>0</v>
      </c>
      <c r="F42" s="8">
        <v>0</v>
      </c>
      <c r="G42" s="8">
        <f t="shared" si="4"/>
        <v>138</v>
      </c>
      <c r="H42" s="8">
        <v>123</v>
      </c>
      <c r="I42" s="8">
        <v>15</v>
      </c>
      <c r="J42" s="8">
        <v>0</v>
      </c>
      <c r="K42" s="546">
        <v>0</v>
      </c>
      <c r="L42" s="8">
        <f t="shared" si="5"/>
        <v>138</v>
      </c>
      <c r="M42" s="8">
        <f t="shared" si="6"/>
        <v>0</v>
      </c>
      <c r="N42" s="8"/>
      <c r="P42" s="610"/>
    </row>
    <row r="43" spans="1:16">
      <c r="A43" s="204">
        <f t="shared" si="3"/>
        <v>33</v>
      </c>
      <c r="B43" s="502" t="s">
        <v>614</v>
      </c>
      <c r="C43" s="8">
        <v>159</v>
      </c>
      <c r="D43" s="8">
        <v>2</v>
      </c>
      <c r="E43" s="8">
        <v>0</v>
      </c>
      <c r="F43" s="8">
        <v>0</v>
      </c>
      <c r="G43" s="8">
        <f t="shared" si="4"/>
        <v>161</v>
      </c>
      <c r="H43" s="8">
        <v>159</v>
      </c>
      <c r="I43" s="8">
        <v>2</v>
      </c>
      <c r="J43" s="8">
        <v>0</v>
      </c>
      <c r="K43" s="546">
        <v>0</v>
      </c>
      <c r="L43" s="8">
        <f t="shared" si="5"/>
        <v>161</v>
      </c>
      <c r="M43" s="8">
        <f t="shared" si="6"/>
        <v>0</v>
      </c>
      <c r="N43" s="8"/>
      <c r="P43" s="610"/>
    </row>
    <row r="44" spans="1:16" s="360" customFormat="1">
      <c r="A44" s="414"/>
      <c r="B44" s="414" t="s">
        <v>615</v>
      </c>
      <c r="C44" s="494">
        <f>SUM(C11:C43)</f>
        <v>4835</v>
      </c>
      <c r="D44" s="494">
        <f t="shared" ref="D44:N44" si="7">SUM(D11:D43)</f>
        <v>247</v>
      </c>
      <c r="E44" s="494">
        <f t="shared" si="7"/>
        <v>0</v>
      </c>
      <c r="F44" s="494">
        <f t="shared" si="7"/>
        <v>2</v>
      </c>
      <c r="G44" s="494">
        <f t="shared" si="7"/>
        <v>5084</v>
      </c>
      <c r="H44" s="494">
        <f t="shared" si="7"/>
        <v>4832</v>
      </c>
      <c r="I44" s="494">
        <f t="shared" si="7"/>
        <v>210</v>
      </c>
      <c r="J44" s="494">
        <f t="shared" si="7"/>
        <v>0</v>
      </c>
      <c r="K44" s="494">
        <f t="shared" si="7"/>
        <v>2</v>
      </c>
      <c r="L44" s="494">
        <f t="shared" si="7"/>
        <v>5044</v>
      </c>
      <c r="M44" s="494" t="s">
        <v>890</v>
      </c>
      <c r="N44" s="494">
        <f t="shared" si="7"/>
        <v>0</v>
      </c>
    </row>
    <row r="45" spans="1:16">
      <c r="A45" s="173" t="s">
        <v>9</v>
      </c>
      <c r="C45" s="367"/>
      <c r="D45" s="367"/>
      <c r="E45" s="367"/>
      <c r="F45" s="367"/>
      <c r="G45" s="367"/>
      <c r="L45" s="386"/>
    </row>
    <row r="46" spans="1:16">
      <c r="A46" s="173" t="s">
        <v>10</v>
      </c>
      <c r="K46" s="3" t="s">
        <v>11</v>
      </c>
      <c r="L46" s="3" t="s">
        <v>11</v>
      </c>
      <c r="M46" s="3"/>
      <c r="N46" s="3" t="s">
        <v>11</v>
      </c>
    </row>
    <row r="47" spans="1:16" s="660" customFormat="1" ht="12">
      <c r="A47" s="660" t="s">
        <v>911</v>
      </c>
      <c r="J47" s="661"/>
      <c r="K47" s="661"/>
      <c r="L47" s="661"/>
    </row>
    <row r="48" spans="1:16"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</row>
    <row r="51" spans="1:14" ht="14.25">
      <c r="K51" s="732" t="s">
        <v>908</v>
      </c>
      <c r="L51" s="732"/>
      <c r="M51" s="732"/>
      <c r="N51" s="732"/>
    </row>
    <row r="52" spans="1:14" ht="14.25">
      <c r="K52" s="732" t="s">
        <v>646</v>
      </c>
      <c r="L52" s="732"/>
      <c r="M52" s="732"/>
      <c r="N52" s="732"/>
    </row>
  </sheetData>
  <mergeCells count="14">
    <mergeCell ref="K52:N52"/>
    <mergeCell ref="A50:N50"/>
    <mergeCell ref="N8:N9"/>
    <mergeCell ref="A8:A9"/>
    <mergeCell ref="B8:B9"/>
    <mergeCell ref="C8:G8"/>
    <mergeCell ref="H8:L8"/>
    <mergeCell ref="M8:M9"/>
    <mergeCell ref="D1:J1"/>
    <mergeCell ref="A2:N2"/>
    <mergeCell ref="A3:N3"/>
    <mergeCell ref="A5:N5"/>
    <mergeCell ref="K51:N51"/>
    <mergeCell ref="L7:N7"/>
  </mergeCells>
  <phoneticPr fontId="0" type="noConversion"/>
  <printOptions horizontalCentered="1"/>
  <pageMargins left="0.56999999999999995" right="0.47" top="0.44" bottom="0" header="0.31496062992125984" footer="0.2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topLeftCell="F1" zoomScale="80" zoomScaleNormal="85" zoomScaleSheetLayoutView="80" workbookViewId="0">
      <selection activeCell="A2" sqref="A2:Q2"/>
    </sheetView>
  </sheetViews>
  <sheetFormatPr defaultColWidth="9.140625" defaultRowHeight="12.75"/>
  <cols>
    <col min="1" max="1" width="7.140625" style="173" customWidth="1"/>
    <col min="2" max="2" width="16.85546875" style="173" customWidth="1"/>
    <col min="3" max="3" width="10.28515625" style="173" customWidth="1"/>
    <col min="4" max="4" width="9.28515625" style="173" customWidth="1"/>
    <col min="5" max="6" width="9.140625" style="173"/>
    <col min="7" max="7" width="11.7109375" style="173" customWidth="1"/>
    <col min="8" max="8" width="11" style="173" customWidth="1"/>
    <col min="9" max="9" width="9.7109375" style="173" customWidth="1"/>
    <col min="10" max="10" width="9.5703125" style="173" customWidth="1"/>
    <col min="11" max="11" width="11.7109375" style="173" customWidth="1"/>
    <col min="12" max="12" width="10.7109375" style="173" customWidth="1"/>
    <col min="13" max="13" width="10.5703125" style="173" customWidth="1"/>
    <col min="14" max="14" width="9.28515625" style="173" bestFit="1" customWidth="1"/>
    <col min="15" max="15" width="8.85546875" style="173" customWidth="1"/>
    <col min="16" max="16" width="9.140625" style="173"/>
    <col min="17" max="17" width="11" style="173" customWidth="1"/>
    <col min="18" max="18" width="11" style="594" customWidth="1"/>
    <col min="19" max="16384" width="9.140625" style="173"/>
  </cols>
  <sheetData>
    <row r="1" spans="1:18" ht="12.75" customHeight="1">
      <c r="O1" s="698" t="s">
        <v>56</v>
      </c>
      <c r="P1" s="698"/>
      <c r="Q1" s="698"/>
      <c r="R1" s="588"/>
    </row>
    <row r="2" spans="1:18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589"/>
    </row>
    <row r="3" spans="1:18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590"/>
    </row>
    <row r="4" spans="1:18" ht="11.25" customHeight="1"/>
    <row r="5" spans="1:18" ht="15.75" customHeight="1">
      <c r="A5" s="805" t="s">
        <v>762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593"/>
    </row>
    <row r="7" spans="1:18" s="5" customFormat="1">
      <c r="A7" s="21" t="s">
        <v>658</v>
      </c>
      <c r="B7" s="21"/>
      <c r="O7" s="804" t="s">
        <v>774</v>
      </c>
      <c r="P7" s="804"/>
      <c r="Q7" s="804"/>
      <c r="R7" s="592"/>
    </row>
    <row r="8" spans="1:18" ht="24" customHeight="1">
      <c r="A8" s="668" t="s">
        <v>2</v>
      </c>
      <c r="B8" s="668" t="s">
        <v>3</v>
      </c>
      <c r="C8" s="701" t="s">
        <v>821</v>
      </c>
      <c r="D8" s="701"/>
      <c r="E8" s="701"/>
      <c r="F8" s="701"/>
      <c r="G8" s="701"/>
      <c r="H8" s="800" t="s">
        <v>549</v>
      </c>
      <c r="I8" s="701"/>
      <c r="J8" s="701"/>
      <c r="K8" s="701"/>
      <c r="L8" s="701"/>
      <c r="M8" s="801" t="s">
        <v>105</v>
      </c>
      <c r="N8" s="802"/>
      <c r="O8" s="802"/>
      <c r="P8" s="802"/>
      <c r="Q8" s="803"/>
      <c r="R8" s="134"/>
    </row>
    <row r="9" spans="1:18" s="5" customFormat="1" ht="60" customHeight="1">
      <c r="A9" s="668"/>
      <c r="B9" s="668"/>
      <c r="C9" s="150" t="s">
        <v>209</v>
      </c>
      <c r="D9" s="150" t="s">
        <v>210</v>
      </c>
      <c r="E9" s="150" t="s">
        <v>347</v>
      </c>
      <c r="F9" s="150" t="s">
        <v>216</v>
      </c>
      <c r="G9" s="150" t="s">
        <v>113</v>
      </c>
      <c r="H9" s="153" t="s">
        <v>209</v>
      </c>
      <c r="I9" s="150" t="s">
        <v>210</v>
      </c>
      <c r="J9" s="150" t="s">
        <v>347</v>
      </c>
      <c r="K9" s="152" t="s">
        <v>216</v>
      </c>
      <c r="L9" s="150" t="s">
        <v>350</v>
      </c>
      <c r="M9" s="150" t="s">
        <v>209</v>
      </c>
      <c r="N9" s="150" t="s">
        <v>210</v>
      </c>
      <c r="O9" s="150" t="s">
        <v>347</v>
      </c>
      <c r="P9" s="152" t="s">
        <v>216</v>
      </c>
      <c r="Q9" s="150" t="s">
        <v>115</v>
      </c>
      <c r="R9" s="58"/>
    </row>
    <row r="10" spans="1:18" s="30" customForma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600"/>
    </row>
    <row r="11" spans="1:18">
      <c r="A11" s="204">
        <v>1</v>
      </c>
      <c r="B11" s="204" t="s">
        <v>624</v>
      </c>
      <c r="C11" s="8">
        <v>38433</v>
      </c>
      <c r="D11" s="8">
        <v>308</v>
      </c>
      <c r="E11" s="8">
        <v>0</v>
      </c>
      <c r="F11" s="8">
        <v>696</v>
      </c>
      <c r="G11" s="8">
        <f>SUM(C11:F11)</f>
        <v>39437</v>
      </c>
      <c r="H11" s="361">
        <v>34207</v>
      </c>
      <c r="I11" s="428">
        <v>286</v>
      </c>
      <c r="J11" s="8">
        <v>0</v>
      </c>
      <c r="K11" s="8">
        <v>673</v>
      </c>
      <c r="L11" s="428">
        <f>SUM(H11:K11)</f>
        <v>35166</v>
      </c>
      <c r="M11" s="8">
        <f>H11*158</f>
        <v>5404706</v>
      </c>
      <c r="N11" s="8">
        <f>I11*158</f>
        <v>45188</v>
      </c>
      <c r="O11" s="8">
        <f>J11*158</f>
        <v>0</v>
      </c>
      <c r="P11" s="8">
        <f>K11*158</f>
        <v>106334</v>
      </c>
      <c r="Q11" s="8">
        <f>SUM(M11:P11)</f>
        <v>5556228</v>
      </c>
      <c r="R11" s="601"/>
    </row>
    <row r="12" spans="1:18">
      <c r="A12" s="204">
        <f>A11+1</f>
        <v>2</v>
      </c>
      <c r="B12" s="204" t="s">
        <v>589</v>
      </c>
      <c r="C12" s="8">
        <v>38093</v>
      </c>
      <c r="D12" s="8">
        <v>3055</v>
      </c>
      <c r="E12" s="8">
        <v>0</v>
      </c>
      <c r="F12" s="8">
        <v>0</v>
      </c>
      <c r="G12" s="546">
        <f t="shared" ref="G12:G43" si="0">SUM(C12:F12)</f>
        <v>41148</v>
      </c>
      <c r="H12" s="361">
        <v>34030</v>
      </c>
      <c r="I12" s="428">
        <v>2612</v>
      </c>
      <c r="J12" s="8">
        <v>0</v>
      </c>
      <c r="K12" s="8">
        <v>0</v>
      </c>
      <c r="L12" s="428">
        <f t="shared" ref="L12:L43" si="1">SUM(H12:K12)</f>
        <v>36642</v>
      </c>
      <c r="M12" s="546">
        <f t="shared" ref="M12:M43" si="2">H12*158</f>
        <v>5376740</v>
      </c>
      <c r="N12" s="546">
        <f t="shared" ref="N12:N43" si="3">I12*158</f>
        <v>412696</v>
      </c>
      <c r="O12" s="546">
        <f t="shared" ref="O12:O43" si="4">J12*158</f>
        <v>0</v>
      </c>
      <c r="P12" s="546">
        <f t="shared" ref="P12:P43" si="5">K12*158</f>
        <v>0</v>
      </c>
      <c r="Q12" s="546">
        <f t="shared" ref="Q12:Q43" si="6">SUM(M12:P12)</f>
        <v>5789436</v>
      </c>
      <c r="R12" s="601"/>
    </row>
    <row r="13" spans="1:18">
      <c r="A13" s="204">
        <f t="shared" ref="A13:A43" si="7">A12+1</f>
        <v>3</v>
      </c>
      <c r="B13" s="204" t="s">
        <v>625</v>
      </c>
      <c r="C13" s="8">
        <v>66344</v>
      </c>
      <c r="D13" s="8">
        <v>20056</v>
      </c>
      <c r="E13" s="8">
        <v>0</v>
      </c>
      <c r="F13" s="8">
        <v>519</v>
      </c>
      <c r="G13" s="546">
        <f t="shared" si="0"/>
        <v>86919</v>
      </c>
      <c r="H13" s="361">
        <v>57347</v>
      </c>
      <c r="I13" s="428">
        <v>17645</v>
      </c>
      <c r="J13" s="8">
        <v>0</v>
      </c>
      <c r="K13" s="8">
        <v>445</v>
      </c>
      <c r="L13" s="428">
        <f t="shared" si="1"/>
        <v>75437</v>
      </c>
      <c r="M13" s="546">
        <f t="shared" si="2"/>
        <v>9060826</v>
      </c>
      <c r="N13" s="546">
        <f t="shared" si="3"/>
        <v>2787910</v>
      </c>
      <c r="O13" s="546">
        <f t="shared" si="4"/>
        <v>0</v>
      </c>
      <c r="P13" s="546">
        <f t="shared" si="5"/>
        <v>70310</v>
      </c>
      <c r="Q13" s="546">
        <f t="shared" si="6"/>
        <v>11919046</v>
      </c>
      <c r="R13" s="601"/>
    </row>
    <row r="14" spans="1:18">
      <c r="A14" s="204">
        <f t="shared" si="7"/>
        <v>4</v>
      </c>
      <c r="B14" s="204" t="s">
        <v>590</v>
      </c>
      <c r="C14" s="8">
        <v>26883</v>
      </c>
      <c r="D14" s="8">
        <v>67</v>
      </c>
      <c r="E14" s="8">
        <v>0</v>
      </c>
      <c r="F14" s="8">
        <v>224</v>
      </c>
      <c r="G14" s="546">
        <f t="shared" si="0"/>
        <v>27174</v>
      </c>
      <c r="H14" s="361">
        <v>23420</v>
      </c>
      <c r="I14" s="428">
        <v>56</v>
      </c>
      <c r="J14" s="8">
        <v>0</v>
      </c>
      <c r="K14" s="8">
        <v>210</v>
      </c>
      <c r="L14" s="428">
        <f t="shared" si="1"/>
        <v>23686</v>
      </c>
      <c r="M14" s="546">
        <f t="shared" si="2"/>
        <v>3700360</v>
      </c>
      <c r="N14" s="546">
        <f t="shared" si="3"/>
        <v>8848</v>
      </c>
      <c r="O14" s="546">
        <f t="shared" si="4"/>
        <v>0</v>
      </c>
      <c r="P14" s="546">
        <f t="shared" si="5"/>
        <v>33180</v>
      </c>
      <c r="Q14" s="546">
        <f t="shared" si="6"/>
        <v>3742388</v>
      </c>
      <c r="R14" s="601"/>
    </row>
    <row r="15" spans="1:18">
      <c r="A15" s="204">
        <f t="shared" si="7"/>
        <v>5</v>
      </c>
      <c r="B15" s="204" t="s">
        <v>591</v>
      </c>
      <c r="C15" s="8">
        <v>15948</v>
      </c>
      <c r="D15" s="8">
        <v>247</v>
      </c>
      <c r="E15" s="8">
        <v>0</v>
      </c>
      <c r="F15" s="8">
        <v>0</v>
      </c>
      <c r="G15" s="546">
        <f t="shared" si="0"/>
        <v>16195</v>
      </c>
      <c r="H15" s="361">
        <v>14023</v>
      </c>
      <c r="I15" s="428">
        <v>222</v>
      </c>
      <c r="J15" s="8">
        <v>0</v>
      </c>
      <c r="K15" s="8">
        <v>0</v>
      </c>
      <c r="L15" s="428">
        <f t="shared" si="1"/>
        <v>14245</v>
      </c>
      <c r="M15" s="546">
        <f t="shared" si="2"/>
        <v>2215634</v>
      </c>
      <c r="N15" s="546">
        <f t="shared" si="3"/>
        <v>35076</v>
      </c>
      <c r="O15" s="546">
        <f t="shared" si="4"/>
        <v>0</v>
      </c>
      <c r="P15" s="546">
        <f t="shared" si="5"/>
        <v>0</v>
      </c>
      <c r="Q15" s="546">
        <f t="shared" si="6"/>
        <v>2250710</v>
      </c>
      <c r="R15" s="601"/>
    </row>
    <row r="16" spans="1:18">
      <c r="A16" s="204">
        <f t="shared" si="7"/>
        <v>6</v>
      </c>
      <c r="B16" s="204" t="s">
        <v>592</v>
      </c>
      <c r="C16" s="8">
        <v>11699</v>
      </c>
      <c r="D16" s="8">
        <v>0</v>
      </c>
      <c r="E16" s="8">
        <v>0</v>
      </c>
      <c r="F16" s="8">
        <v>32</v>
      </c>
      <c r="G16" s="546">
        <f t="shared" si="0"/>
        <v>11731</v>
      </c>
      <c r="H16" s="361">
        <v>10329</v>
      </c>
      <c r="I16" s="428">
        <v>0</v>
      </c>
      <c r="J16" s="8">
        <v>0</v>
      </c>
      <c r="K16" s="8">
        <v>25</v>
      </c>
      <c r="L16" s="428">
        <f t="shared" si="1"/>
        <v>10354</v>
      </c>
      <c r="M16" s="546">
        <f t="shared" si="2"/>
        <v>1631982</v>
      </c>
      <c r="N16" s="546">
        <f t="shared" si="3"/>
        <v>0</v>
      </c>
      <c r="O16" s="546">
        <f t="shared" si="4"/>
        <v>0</v>
      </c>
      <c r="P16" s="546">
        <f t="shared" si="5"/>
        <v>3950</v>
      </c>
      <c r="Q16" s="546">
        <f t="shared" si="6"/>
        <v>1635932</v>
      </c>
      <c r="R16" s="601"/>
    </row>
    <row r="17" spans="1:18">
      <c r="A17" s="204">
        <f t="shared" si="7"/>
        <v>7</v>
      </c>
      <c r="B17" s="204" t="s">
        <v>593</v>
      </c>
      <c r="C17" s="8">
        <v>34940</v>
      </c>
      <c r="D17" s="8">
        <v>84</v>
      </c>
      <c r="E17" s="8">
        <v>0</v>
      </c>
      <c r="F17" s="8">
        <v>31</v>
      </c>
      <c r="G17" s="546">
        <f t="shared" si="0"/>
        <v>35055</v>
      </c>
      <c r="H17" s="361">
        <v>30900</v>
      </c>
      <c r="I17" s="428">
        <v>76</v>
      </c>
      <c r="J17" s="8">
        <v>0</v>
      </c>
      <c r="K17" s="8">
        <v>30</v>
      </c>
      <c r="L17" s="428">
        <f t="shared" si="1"/>
        <v>31006</v>
      </c>
      <c r="M17" s="546">
        <f t="shared" si="2"/>
        <v>4882200</v>
      </c>
      <c r="N17" s="546">
        <f t="shared" si="3"/>
        <v>12008</v>
      </c>
      <c r="O17" s="546">
        <f t="shared" si="4"/>
        <v>0</v>
      </c>
      <c r="P17" s="546">
        <f t="shared" si="5"/>
        <v>4740</v>
      </c>
      <c r="Q17" s="546">
        <f t="shared" si="6"/>
        <v>4898948</v>
      </c>
      <c r="R17" s="601"/>
    </row>
    <row r="18" spans="1:18">
      <c r="A18" s="204">
        <f t="shared" si="7"/>
        <v>8</v>
      </c>
      <c r="B18" s="204" t="s">
        <v>594</v>
      </c>
      <c r="C18" s="8">
        <v>43547</v>
      </c>
      <c r="D18" s="8">
        <v>351</v>
      </c>
      <c r="E18" s="8">
        <v>0</v>
      </c>
      <c r="F18" s="8">
        <v>0</v>
      </c>
      <c r="G18" s="546">
        <f t="shared" si="0"/>
        <v>43898</v>
      </c>
      <c r="H18" s="361">
        <v>38997</v>
      </c>
      <c r="I18" s="428">
        <v>320</v>
      </c>
      <c r="J18" s="8">
        <v>0</v>
      </c>
      <c r="K18" s="8">
        <v>0</v>
      </c>
      <c r="L18" s="428">
        <f t="shared" si="1"/>
        <v>39317</v>
      </c>
      <c r="M18" s="546">
        <f t="shared" si="2"/>
        <v>6161526</v>
      </c>
      <c r="N18" s="546">
        <f t="shared" si="3"/>
        <v>50560</v>
      </c>
      <c r="O18" s="546">
        <f t="shared" si="4"/>
        <v>0</v>
      </c>
      <c r="P18" s="546">
        <f t="shared" si="5"/>
        <v>0</v>
      </c>
      <c r="Q18" s="546">
        <f t="shared" si="6"/>
        <v>6212086</v>
      </c>
      <c r="R18" s="601"/>
    </row>
    <row r="19" spans="1:18">
      <c r="A19" s="204">
        <f t="shared" si="7"/>
        <v>9</v>
      </c>
      <c r="B19" s="204" t="s">
        <v>595</v>
      </c>
      <c r="C19" s="8">
        <v>17987</v>
      </c>
      <c r="D19" s="8">
        <v>1089</v>
      </c>
      <c r="E19" s="8">
        <v>0</v>
      </c>
      <c r="F19" s="8">
        <v>19</v>
      </c>
      <c r="G19" s="546">
        <f t="shared" si="0"/>
        <v>19095</v>
      </c>
      <c r="H19" s="361">
        <v>15832</v>
      </c>
      <c r="I19" s="428">
        <v>952</v>
      </c>
      <c r="J19" s="8">
        <v>0</v>
      </c>
      <c r="K19" s="8">
        <v>12</v>
      </c>
      <c r="L19" s="428">
        <f t="shared" si="1"/>
        <v>16796</v>
      </c>
      <c r="M19" s="546">
        <f t="shared" si="2"/>
        <v>2501456</v>
      </c>
      <c r="N19" s="546">
        <f t="shared" si="3"/>
        <v>150416</v>
      </c>
      <c r="O19" s="546">
        <f t="shared" si="4"/>
        <v>0</v>
      </c>
      <c r="P19" s="546">
        <f t="shared" si="5"/>
        <v>1896</v>
      </c>
      <c r="Q19" s="546">
        <f t="shared" si="6"/>
        <v>2653768</v>
      </c>
      <c r="R19" s="601"/>
    </row>
    <row r="20" spans="1:18">
      <c r="A20" s="204">
        <f t="shared" si="7"/>
        <v>10</v>
      </c>
      <c r="B20" s="204" t="s">
        <v>596</v>
      </c>
      <c r="C20" s="8">
        <v>42677</v>
      </c>
      <c r="D20" s="8">
        <v>2272</v>
      </c>
      <c r="E20" s="8">
        <v>0</v>
      </c>
      <c r="F20" s="8">
        <v>37</v>
      </c>
      <c r="G20" s="546">
        <f t="shared" si="0"/>
        <v>44986</v>
      </c>
      <c r="H20" s="361">
        <v>36536</v>
      </c>
      <c r="I20" s="428">
        <v>1972</v>
      </c>
      <c r="J20" s="8">
        <v>0</v>
      </c>
      <c r="K20" s="8">
        <v>35</v>
      </c>
      <c r="L20" s="428">
        <f t="shared" si="1"/>
        <v>38543</v>
      </c>
      <c r="M20" s="546">
        <f t="shared" si="2"/>
        <v>5772688</v>
      </c>
      <c r="N20" s="546">
        <f t="shared" si="3"/>
        <v>311576</v>
      </c>
      <c r="O20" s="546">
        <f t="shared" si="4"/>
        <v>0</v>
      </c>
      <c r="P20" s="546">
        <f t="shared" si="5"/>
        <v>5530</v>
      </c>
      <c r="Q20" s="546">
        <f t="shared" si="6"/>
        <v>6089794</v>
      </c>
      <c r="R20" s="601"/>
    </row>
    <row r="21" spans="1:18" ht="15" customHeight="1">
      <c r="A21" s="204">
        <f t="shared" si="7"/>
        <v>11</v>
      </c>
      <c r="B21" s="204" t="s">
        <v>626</v>
      </c>
      <c r="C21" s="8">
        <v>27763</v>
      </c>
      <c r="D21" s="8">
        <v>526</v>
      </c>
      <c r="E21" s="8">
        <v>0</v>
      </c>
      <c r="F21" s="8">
        <v>537</v>
      </c>
      <c r="G21" s="546">
        <f t="shared" si="0"/>
        <v>28826</v>
      </c>
      <c r="H21" s="361">
        <v>24153</v>
      </c>
      <c r="I21" s="428">
        <v>486</v>
      </c>
      <c r="J21" s="8">
        <v>0</v>
      </c>
      <c r="K21" s="8">
        <v>476</v>
      </c>
      <c r="L21" s="428">
        <f t="shared" si="1"/>
        <v>25115</v>
      </c>
      <c r="M21" s="546">
        <f t="shared" si="2"/>
        <v>3816174</v>
      </c>
      <c r="N21" s="546">
        <f t="shared" si="3"/>
        <v>76788</v>
      </c>
      <c r="O21" s="546">
        <f t="shared" si="4"/>
        <v>0</v>
      </c>
      <c r="P21" s="546">
        <f t="shared" si="5"/>
        <v>75208</v>
      </c>
      <c r="Q21" s="546">
        <f t="shared" si="6"/>
        <v>3968170</v>
      </c>
      <c r="R21" s="601"/>
    </row>
    <row r="22" spans="1:18">
      <c r="A22" s="204">
        <f t="shared" si="7"/>
        <v>12</v>
      </c>
      <c r="B22" s="204" t="s">
        <v>597</v>
      </c>
      <c r="C22" s="8">
        <v>26495</v>
      </c>
      <c r="D22" s="8">
        <v>74</v>
      </c>
      <c r="E22" s="8">
        <v>0</v>
      </c>
      <c r="F22" s="8">
        <v>121</v>
      </c>
      <c r="G22" s="546">
        <f t="shared" si="0"/>
        <v>26690</v>
      </c>
      <c r="H22" s="361">
        <v>23426</v>
      </c>
      <c r="I22" s="428">
        <v>67</v>
      </c>
      <c r="J22" s="8">
        <v>0</v>
      </c>
      <c r="K22" s="8">
        <v>119</v>
      </c>
      <c r="L22" s="428">
        <f t="shared" si="1"/>
        <v>23612</v>
      </c>
      <c r="M22" s="546">
        <f t="shared" si="2"/>
        <v>3701308</v>
      </c>
      <c r="N22" s="546">
        <f t="shared" si="3"/>
        <v>10586</v>
      </c>
      <c r="O22" s="546">
        <f t="shared" si="4"/>
        <v>0</v>
      </c>
      <c r="P22" s="546">
        <f t="shared" si="5"/>
        <v>18802</v>
      </c>
      <c r="Q22" s="546">
        <f t="shared" si="6"/>
        <v>3730696</v>
      </c>
      <c r="R22" s="601"/>
    </row>
    <row r="23" spans="1:18" ht="12.75" customHeight="1">
      <c r="A23" s="204">
        <f t="shared" si="7"/>
        <v>13</v>
      </c>
      <c r="B23" s="204" t="s">
        <v>598</v>
      </c>
      <c r="C23" s="8">
        <v>37734</v>
      </c>
      <c r="D23" s="8">
        <v>1403</v>
      </c>
      <c r="E23" s="8">
        <v>0</v>
      </c>
      <c r="F23" s="8">
        <v>608</v>
      </c>
      <c r="G23" s="546">
        <f t="shared" si="0"/>
        <v>39745</v>
      </c>
      <c r="H23" s="361">
        <v>33767</v>
      </c>
      <c r="I23" s="428">
        <v>1256</v>
      </c>
      <c r="J23" s="8">
        <v>0</v>
      </c>
      <c r="K23" s="8">
        <v>565</v>
      </c>
      <c r="L23" s="428">
        <f t="shared" si="1"/>
        <v>35588</v>
      </c>
      <c r="M23" s="546">
        <f t="shared" si="2"/>
        <v>5335186</v>
      </c>
      <c r="N23" s="546">
        <f t="shared" si="3"/>
        <v>198448</v>
      </c>
      <c r="O23" s="546">
        <f t="shared" si="4"/>
        <v>0</v>
      </c>
      <c r="P23" s="546">
        <f t="shared" si="5"/>
        <v>89270</v>
      </c>
      <c r="Q23" s="546">
        <f t="shared" si="6"/>
        <v>5622904</v>
      </c>
      <c r="R23" s="601"/>
    </row>
    <row r="24" spans="1:18">
      <c r="A24" s="204">
        <f t="shared" si="7"/>
        <v>14</v>
      </c>
      <c r="B24" s="204" t="s">
        <v>627</v>
      </c>
      <c r="C24" s="8">
        <v>20262</v>
      </c>
      <c r="D24" s="8">
        <v>983</v>
      </c>
      <c r="E24" s="8">
        <v>0</v>
      </c>
      <c r="F24" s="8">
        <v>111</v>
      </c>
      <c r="G24" s="546">
        <f t="shared" si="0"/>
        <v>21356</v>
      </c>
      <c r="H24" s="361">
        <v>18196</v>
      </c>
      <c r="I24" s="428">
        <v>952</v>
      </c>
      <c r="J24" s="8">
        <v>0</v>
      </c>
      <c r="K24" s="8">
        <v>102</v>
      </c>
      <c r="L24" s="428">
        <f t="shared" si="1"/>
        <v>19250</v>
      </c>
      <c r="M24" s="546">
        <f t="shared" si="2"/>
        <v>2874968</v>
      </c>
      <c r="N24" s="546">
        <f t="shared" si="3"/>
        <v>150416</v>
      </c>
      <c r="O24" s="546">
        <f t="shared" si="4"/>
        <v>0</v>
      </c>
      <c r="P24" s="546">
        <f t="shared" si="5"/>
        <v>16116</v>
      </c>
      <c r="Q24" s="546">
        <f t="shared" si="6"/>
        <v>3041500</v>
      </c>
      <c r="R24" s="601"/>
    </row>
    <row r="25" spans="1:18">
      <c r="A25" s="204">
        <f t="shared" si="7"/>
        <v>15</v>
      </c>
      <c r="B25" s="204" t="s">
        <v>599</v>
      </c>
      <c r="C25" s="8">
        <v>38843</v>
      </c>
      <c r="D25" s="8">
        <v>57</v>
      </c>
      <c r="E25" s="8">
        <v>0</v>
      </c>
      <c r="F25" s="8">
        <v>240</v>
      </c>
      <c r="G25" s="546">
        <f t="shared" si="0"/>
        <v>39140</v>
      </c>
      <c r="H25" s="361">
        <v>33579</v>
      </c>
      <c r="I25" s="428">
        <v>42</v>
      </c>
      <c r="J25" s="8">
        <v>0</v>
      </c>
      <c r="K25" s="8">
        <v>212</v>
      </c>
      <c r="L25" s="428">
        <f t="shared" si="1"/>
        <v>33833</v>
      </c>
      <c r="M25" s="546">
        <f t="shared" si="2"/>
        <v>5305482</v>
      </c>
      <c r="N25" s="546">
        <f t="shared" si="3"/>
        <v>6636</v>
      </c>
      <c r="O25" s="546">
        <f t="shared" si="4"/>
        <v>0</v>
      </c>
      <c r="P25" s="546">
        <f t="shared" si="5"/>
        <v>33496</v>
      </c>
      <c r="Q25" s="546">
        <f t="shared" si="6"/>
        <v>5345614</v>
      </c>
      <c r="R25" s="601"/>
    </row>
    <row r="26" spans="1:18">
      <c r="A26" s="204">
        <f t="shared" si="7"/>
        <v>16</v>
      </c>
      <c r="B26" s="204" t="s">
        <v>600</v>
      </c>
      <c r="C26" s="8">
        <v>39309</v>
      </c>
      <c r="D26" s="8">
        <v>467</v>
      </c>
      <c r="E26" s="8">
        <v>0</v>
      </c>
      <c r="F26" s="8">
        <v>518</v>
      </c>
      <c r="G26" s="546">
        <f t="shared" si="0"/>
        <v>40294</v>
      </c>
      <c r="H26" s="361">
        <v>33972</v>
      </c>
      <c r="I26" s="428">
        <v>412</v>
      </c>
      <c r="J26" s="8">
        <v>0</v>
      </c>
      <c r="K26" s="8">
        <v>486</v>
      </c>
      <c r="L26" s="428">
        <f t="shared" si="1"/>
        <v>34870</v>
      </c>
      <c r="M26" s="546">
        <f t="shared" si="2"/>
        <v>5367576</v>
      </c>
      <c r="N26" s="546">
        <f t="shared" si="3"/>
        <v>65096</v>
      </c>
      <c r="O26" s="546">
        <f t="shared" si="4"/>
        <v>0</v>
      </c>
      <c r="P26" s="546">
        <f t="shared" si="5"/>
        <v>76788</v>
      </c>
      <c r="Q26" s="546">
        <f t="shared" si="6"/>
        <v>5509460</v>
      </c>
      <c r="R26" s="601"/>
    </row>
    <row r="27" spans="1:18" s="527" customFormat="1">
      <c r="A27" s="204">
        <f t="shared" si="7"/>
        <v>17</v>
      </c>
      <c r="B27" s="529" t="s">
        <v>684</v>
      </c>
      <c r="C27" s="8">
        <v>11143</v>
      </c>
      <c r="D27" s="8">
        <v>59</v>
      </c>
      <c r="E27" s="8">
        <v>0</v>
      </c>
      <c r="F27" s="8">
        <v>0</v>
      </c>
      <c r="G27" s="546">
        <f t="shared" si="0"/>
        <v>11202</v>
      </c>
      <c r="H27" s="361">
        <v>10006</v>
      </c>
      <c r="I27" s="428">
        <v>48</v>
      </c>
      <c r="J27" s="8">
        <v>0</v>
      </c>
      <c r="K27" s="8">
        <v>0</v>
      </c>
      <c r="L27" s="428">
        <f t="shared" si="1"/>
        <v>10054</v>
      </c>
      <c r="M27" s="546">
        <f t="shared" si="2"/>
        <v>1580948</v>
      </c>
      <c r="N27" s="546">
        <f t="shared" si="3"/>
        <v>7584</v>
      </c>
      <c r="O27" s="546">
        <f t="shared" si="4"/>
        <v>0</v>
      </c>
      <c r="P27" s="546">
        <f t="shared" si="5"/>
        <v>0</v>
      </c>
      <c r="Q27" s="546">
        <f t="shared" si="6"/>
        <v>1588532</v>
      </c>
      <c r="R27" s="601"/>
    </row>
    <row r="28" spans="1:18">
      <c r="A28" s="204">
        <f t="shared" si="7"/>
        <v>18</v>
      </c>
      <c r="B28" s="204" t="s">
        <v>601</v>
      </c>
      <c r="C28" s="8">
        <v>31968</v>
      </c>
      <c r="D28" s="8">
        <v>533</v>
      </c>
      <c r="E28" s="8">
        <v>0</v>
      </c>
      <c r="F28" s="8">
        <v>48</v>
      </c>
      <c r="G28" s="546">
        <f t="shared" si="0"/>
        <v>32549</v>
      </c>
      <c r="H28" s="361">
        <v>28791</v>
      </c>
      <c r="I28" s="428">
        <v>511</v>
      </c>
      <c r="J28" s="8">
        <v>0</v>
      </c>
      <c r="K28" s="8">
        <v>33</v>
      </c>
      <c r="L28" s="428">
        <f t="shared" si="1"/>
        <v>29335</v>
      </c>
      <c r="M28" s="546">
        <f t="shared" si="2"/>
        <v>4548978</v>
      </c>
      <c r="N28" s="546">
        <f t="shared" si="3"/>
        <v>80738</v>
      </c>
      <c r="O28" s="546">
        <f t="shared" si="4"/>
        <v>0</v>
      </c>
      <c r="P28" s="546">
        <f t="shared" si="5"/>
        <v>5214</v>
      </c>
      <c r="Q28" s="546">
        <f t="shared" si="6"/>
        <v>4634930</v>
      </c>
      <c r="R28" s="601"/>
    </row>
    <row r="29" spans="1:18">
      <c r="A29" s="204">
        <f t="shared" si="7"/>
        <v>19</v>
      </c>
      <c r="B29" s="204" t="s">
        <v>602</v>
      </c>
      <c r="C29" s="8">
        <v>47743</v>
      </c>
      <c r="D29" s="8">
        <v>3756</v>
      </c>
      <c r="E29" s="8">
        <v>0</v>
      </c>
      <c r="F29" s="8">
        <v>514</v>
      </c>
      <c r="G29" s="546">
        <f t="shared" si="0"/>
        <v>52013</v>
      </c>
      <c r="H29" s="361">
        <v>42422</v>
      </c>
      <c r="I29" s="428">
        <v>3516</v>
      </c>
      <c r="J29" s="8">
        <v>0</v>
      </c>
      <c r="K29" s="8">
        <v>416</v>
      </c>
      <c r="L29" s="428">
        <f t="shared" si="1"/>
        <v>46354</v>
      </c>
      <c r="M29" s="546">
        <f t="shared" si="2"/>
        <v>6702676</v>
      </c>
      <c r="N29" s="546">
        <f t="shared" si="3"/>
        <v>555528</v>
      </c>
      <c r="O29" s="546">
        <f t="shared" si="4"/>
        <v>0</v>
      </c>
      <c r="P29" s="546">
        <f t="shared" si="5"/>
        <v>65728</v>
      </c>
      <c r="Q29" s="546">
        <f t="shared" si="6"/>
        <v>7323932</v>
      </c>
      <c r="R29" s="601"/>
    </row>
    <row r="30" spans="1:18" s="527" customFormat="1">
      <c r="A30" s="204">
        <f t="shared" si="7"/>
        <v>20</v>
      </c>
      <c r="B30" s="529" t="s">
        <v>683</v>
      </c>
      <c r="C30" s="8">
        <v>31752</v>
      </c>
      <c r="D30" s="8">
        <v>518</v>
      </c>
      <c r="E30" s="8">
        <v>0</v>
      </c>
      <c r="F30" s="8">
        <v>349</v>
      </c>
      <c r="G30" s="546">
        <f t="shared" si="0"/>
        <v>32619</v>
      </c>
      <c r="H30" s="361">
        <v>26782</v>
      </c>
      <c r="I30" s="428">
        <v>416</v>
      </c>
      <c r="J30" s="8">
        <v>0</v>
      </c>
      <c r="K30" s="8">
        <v>306</v>
      </c>
      <c r="L30" s="428">
        <f t="shared" si="1"/>
        <v>27504</v>
      </c>
      <c r="M30" s="546">
        <f t="shared" si="2"/>
        <v>4231556</v>
      </c>
      <c r="N30" s="546">
        <f t="shared" si="3"/>
        <v>65728</v>
      </c>
      <c r="O30" s="546">
        <f t="shared" si="4"/>
        <v>0</v>
      </c>
      <c r="P30" s="546">
        <f t="shared" si="5"/>
        <v>48348</v>
      </c>
      <c r="Q30" s="546">
        <f t="shared" si="6"/>
        <v>4345632</v>
      </c>
      <c r="R30" s="601"/>
    </row>
    <row r="31" spans="1:18">
      <c r="A31" s="204">
        <f t="shared" si="7"/>
        <v>21</v>
      </c>
      <c r="B31" s="529" t="s">
        <v>628</v>
      </c>
      <c r="C31" s="8">
        <v>26715</v>
      </c>
      <c r="D31" s="8">
        <v>188</v>
      </c>
      <c r="E31" s="8">
        <v>0</v>
      </c>
      <c r="F31" s="8">
        <v>416</v>
      </c>
      <c r="G31" s="546">
        <f t="shared" si="0"/>
        <v>27319</v>
      </c>
      <c r="H31" s="361">
        <v>23483</v>
      </c>
      <c r="I31" s="428">
        <v>169</v>
      </c>
      <c r="J31" s="8">
        <v>0</v>
      </c>
      <c r="K31" s="8">
        <v>389</v>
      </c>
      <c r="L31" s="428">
        <f t="shared" si="1"/>
        <v>24041</v>
      </c>
      <c r="M31" s="546">
        <f t="shared" si="2"/>
        <v>3710314</v>
      </c>
      <c r="N31" s="546">
        <f t="shared" si="3"/>
        <v>26702</v>
      </c>
      <c r="O31" s="546">
        <f t="shared" si="4"/>
        <v>0</v>
      </c>
      <c r="P31" s="546">
        <f t="shared" si="5"/>
        <v>61462</v>
      </c>
      <c r="Q31" s="546">
        <f t="shared" si="6"/>
        <v>3798478</v>
      </c>
      <c r="R31" s="601"/>
    </row>
    <row r="32" spans="1:18">
      <c r="A32" s="204">
        <f t="shared" si="7"/>
        <v>22</v>
      </c>
      <c r="B32" s="204" t="s">
        <v>603</v>
      </c>
      <c r="C32" s="8">
        <v>46865</v>
      </c>
      <c r="D32" s="8">
        <v>6551</v>
      </c>
      <c r="E32" s="8">
        <v>0</v>
      </c>
      <c r="F32" s="8">
        <v>58</v>
      </c>
      <c r="G32" s="546">
        <f t="shared" si="0"/>
        <v>53474</v>
      </c>
      <c r="H32" s="361">
        <v>41197</v>
      </c>
      <c r="I32" s="428">
        <v>6158</v>
      </c>
      <c r="J32" s="8">
        <v>0</v>
      </c>
      <c r="K32" s="8">
        <v>50</v>
      </c>
      <c r="L32" s="428">
        <f t="shared" si="1"/>
        <v>47405</v>
      </c>
      <c r="M32" s="546">
        <f t="shared" si="2"/>
        <v>6509126</v>
      </c>
      <c r="N32" s="546">
        <f t="shared" si="3"/>
        <v>972964</v>
      </c>
      <c r="O32" s="546">
        <f t="shared" si="4"/>
        <v>0</v>
      </c>
      <c r="P32" s="546">
        <f t="shared" si="5"/>
        <v>7900</v>
      </c>
      <c r="Q32" s="546">
        <f t="shared" si="6"/>
        <v>7489990</v>
      </c>
      <c r="R32" s="601"/>
    </row>
    <row r="33" spans="1:18">
      <c r="A33" s="204">
        <f t="shared" si="7"/>
        <v>23</v>
      </c>
      <c r="B33" s="204" t="s">
        <v>604</v>
      </c>
      <c r="C33" s="8">
        <v>14226</v>
      </c>
      <c r="D33" s="8">
        <v>624</v>
      </c>
      <c r="E33" s="8">
        <v>0</v>
      </c>
      <c r="F33" s="8">
        <v>0</v>
      </c>
      <c r="G33" s="546">
        <f t="shared" si="0"/>
        <v>14850</v>
      </c>
      <c r="H33" s="361">
        <v>12821</v>
      </c>
      <c r="I33" s="428">
        <v>462</v>
      </c>
      <c r="J33" s="8">
        <v>0</v>
      </c>
      <c r="K33" s="8">
        <v>0</v>
      </c>
      <c r="L33" s="428">
        <f t="shared" si="1"/>
        <v>13283</v>
      </c>
      <c r="M33" s="546">
        <f t="shared" si="2"/>
        <v>2025718</v>
      </c>
      <c r="N33" s="546">
        <f t="shared" si="3"/>
        <v>72996</v>
      </c>
      <c r="O33" s="546">
        <f t="shared" si="4"/>
        <v>0</v>
      </c>
      <c r="P33" s="546">
        <f t="shared" si="5"/>
        <v>0</v>
      </c>
      <c r="Q33" s="546">
        <f t="shared" si="6"/>
        <v>2098714</v>
      </c>
      <c r="R33" s="601"/>
    </row>
    <row r="34" spans="1:18">
      <c r="A34" s="204">
        <f t="shared" si="7"/>
        <v>24</v>
      </c>
      <c r="B34" s="204" t="s">
        <v>605</v>
      </c>
      <c r="C34" s="8">
        <v>17475</v>
      </c>
      <c r="D34" s="8">
        <v>101</v>
      </c>
      <c r="E34" s="8">
        <v>0</v>
      </c>
      <c r="F34" s="8">
        <v>1</v>
      </c>
      <c r="G34" s="546">
        <f t="shared" si="0"/>
        <v>17577</v>
      </c>
      <c r="H34" s="361">
        <v>15733</v>
      </c>
      <c r="I34" s="428">
        <v>96</v>
      </c>
      <c r="J34" s="8">
        <v>0</v>
      </c>
      <c r="K34" s="8">
        <v>1</v>
      </c>
      <c r="L34" s="428">
        <f t="shared" si="1"/>
        <v>15830</v>
      </c>
      <c r="M34" s="546">
        <f t="shared" si="2"/>
        <v>2485814</v>
      </c>
      <c r="N34" s="546">
        <f t="shared" si="3"/>
        <v>15168</v>
      </c>
      <c r="O34" s="546">
        <f t="shared" si="4"/>
        <v>0</v>
      </c>
      <c r="P34" s="546">
        <f t="shared" si="5"/>
        <v>158</v>
      </c>
      <c r="Q34" s="546">
        <f t="shared" si="6"/>
        <v>2501140</v>
      </c>
      <c r="R34" s="601"/>
    </row>
    <row r="35" spans="1:18">
      <c r="A35" s="204">
        <f t="shared" si="7"/>
        <v>25</v>
      </c>
      <c r="B35" s="204" t="s">
        <v>606</v>
      </c>
      <c r="C35" s="8">
        <v>71871</v>
      </c>
      <c r="D35" s="8">
        <v>1588</v>
      </c>
      <c r="E35" s="8">
        <v>0</v>
      </c>
      <c r="F35" s="8">
        <v>1552</v>
      </c>
      <c r="G35" s="546">
        <f t="shared" si="0"/>
        <v>75011</v>
      </c>
      <c r="H35" s="361">
        <v>60250</v>
      </c>
      <c r="I35" s="428">
        <v>1462</v>
      </c>
      <c r="J35" s="8">
        <v>0</v>
      </c>
      <c r="K35" s="8">
        <v>1485</v>
      </c>
      <c r="L35" s="428">
        <f t="shared" si="1"/>
        <v>63197</v>
      </c>
      <c r="M35" s="546">
        <f t="shared" si="2"/>
        <v>9519500</v>
      </c>
      <c r="N35" s="546">
        <f t="shared" si="3"/>
        <v>230996</v>
      </c>
      <c r="O35" s="546">
        <f t="shared" si="4"/>
        <v>0</v>
      </c>
      <c r="P35" s="546">
        <f t="shared" si="5"/>
        <v>234630</v>
      </c>
      <c r="Q35" s="546">
        <f t="shared" si="6"/>
        <v>9985126</v>
      </c>
      <c r="R35" s="601"/>
    </row>
    <row r="36" spans="1:18">
      <c r="A36" s="204">
        <f t="shared" si="7"/>
        <v>26</v>
      </c>
      <c r="B36" s="204" t="s">
        <v>607</v>
      </c>
      <c r="C36" s="8">
        <v>57840</v>
      </c>
      <c r="D36" s="8">
        <v>537</v>
      </c>
      <c r="E36" s="8">
        <v>0</v>
      </c>
      <c r="F36" s="8">
        <v>392</v>
      </c>
      <c r="G36" s="546">
        <f t="shared" si="0"/>
        <v>58769</v>
      </c>
      <c r="H36" s="361">
        <v>50134</v>
      </c>
      <c r="I36" s="428">
        <v>502</v>
      </c>
      <c r="J36" s="8">
        <v>0</v>
      </c>
      <c r="K36" s="8">
        <v>352</v>
      </c>
      <c r="L36" s="428">
        <f t="shared" si="1"/>
        <v>50988</v>
      </c>
      <c r="M36" s="546">
        <f t="shared" si="2"/>
        <v>7921172</v>
      </c>
      <c r="N36" s="546">
        <f t="shared" si="3"/>
        <v>79316</v>
      </c>
      <c r="O36" s="546">
        <f t="shared" si="4"/>
        <v>0</v>
      </c>
      <c r="P36" s="546">
        <f t="shared" si="5"/>
        <v>55616</v>
      </c>
      <c r="Q36" s="546">
        <f t="shared" si="6"/>
        <v>8056104</v>
      </c>
      <c r="R36" s="601"/>
    </row>
    <row r="37" spans="1:18">
      <c r="A37" s="204">
        <f t="shared" si="7"/>
        <v>27</v>
      </c>
      <c r="B37" s="204" t="s">
        <v>608</v>
      </c>
      <c r="C37" s="8">
        <v>37673</v>
      </c>
      <c r="D37" s="8">
        <v>12</v>
      </c>
      <c r="E37" s="8">
        <v>0</v>
      </c>
      <c r="F37" s="8">
        <v>100</v>
      </c>
      <c r="G37" s="546">
        <f t="shared" si="0"/>
        <v>37785</v>
      </c>
      <c r="H37" s="361">
        <v>33478</v>
      </c>
      <c r="I37" s="428">
        <v>11</v>
      </c>
      <c r="J37" s="8">
        <v>0</v>
      </c>
      <c r="K37" s="8">
        <v>94</v>
      </c>
      <c r="L37" s="428">
        <f t="shared" si="1"/>
        <v>33583</v>
      </c>
      <c r="M37" s="546">
        <f t="shared" si="2"/>
        <v>5289524</v>
      </c>
      <c r="N37" s="546">
        <f t="shared" si="3"/>
        <v>1738</v>
      </c>
      <c r="O37" s="546">
        <f t="shared" si="4"/>
        <v>0</v>
      </c>
      <c r="P37" s="546">
        <f t="shared" si="5"/>
        <v>14852</v>
      </c>
      <c r="Q37" s="546">
        <f t="shared" si="6"/>
        <v>5306114</v>
      </c>
      <c r="R37" s="601"/>
    </row>
    <row r="38" spans="1:18">
      <c r="A38" s="204">
        <f t="shared" si="7"/>
        <v>28</v>
      </c>
      <c r="B38" s="204" t="s">
        <v>609</v>
      </c>
      <c r="C38" s="8">
        <v>29390</v>
      </c>
      <c r="D38" s="8">
        <v>1485</v>
      </c>
      <c r="E38" s="8">
        <v>0</v>
      </c>
      <c r="F38" s="8">
        <v>301</v>
      </c>
      <c r="G38" s="546">
        <f t="shared" si="0"/>
        <v>31176</v>
      </c>
      <c r="H38" s="361">
        <v>24515</v>
      </c>
      <c r="I38" s="428">
        <v>1312</v>
      </c>
      <c r="J38" s="8">
        <v>0</v>
      </c>
      <c r="K38" s="8">
        <v>286</v>
      </c>
      <c r="L38" s="428">
        <f t="shared" si="1"/>
        <v>26113</v>
      </c>
      <c r="M38" s="546">
        <f t="shared" si="2"/>
        <v>3873370</v>
      </c>
      <c r="N38" s="546">
        <f t="shared" si="3"/>
        <v>207296</v>
      </c>
      <c r="O38" s="546">
        <f t="shared" si="4"/>
        <v>0</v>
      </c>
      <c r="P38" s="546">
        <f t="shared" si="5"/>
        <v>45188</v>
      </c>
      <c r="Q38" s="546">
        <f t="shared" si="6"/>
        <v>4125854</v>
      </c>
      <c r="R38" s="601"/>
    </row>
    <row r="39" spans="1:18">
      <c r="A39" s="204">
        <f t="shared" si="7"/>
        <v>29</v>
      </c>
      <c r="B39" s="204" t="s">
        <v>610</v>
      </c>
      <c r="C39" s="8">
        <v>44156</v>
      </c>
      <c r="D39" s="8">
        <v>2232</v>
      </c>
      <c r="E39" s="8">
        <v>0</v>
      </c>
      <c r="F39" s="8">
        <v>68</v>
      </c>
      <c r="G39" s="546">
        <f t="shared" si="0"/>
        <v>46456</v>
      </c>
      <c r="H39" s="361">
        <v>39730</v>
      </c>
      <c r="I39" s="428">
        <v>2096</v>
      </c>
      <c r="J39" s="8">
        <v>0</v>
      </c>
      <c r="K39" s="8">
        <v>63</v>
      </c>
      <c r="L39" s="428">
        <f t="shared" si="1"/>
        <v>41889</v>
      </c>
      <c r="M39" s="546">
        <f t="shared" si="2"/>
        <v>6277340</v>
      </c>
      <c r="N39" s="546">
        <f t="shared" si="3"/>
        <v>331168</v>
      </c>
      <c r="O39" s="546">
        <f t="shared" si="4"/>
        <v>0</v>
      </c>
      <c r="P39" s="546">
        <f t="shared" si="5"/>
        <v>9954</v>
      </c>
      <c r="Q39" s="546">
        <f t="shared" si="6"/>
        <v>6618462</v>
      </c>
      <c r="R39" s="601"/>
    </row>
    <row r="40" spans="1:18">
      <c r="A40" s="204">
        <f t="shared" si="7"/>
        <v>30</v>
      </c>
      <c r="B40" s="502" t="s">
        <v>611</v>
      </c>
      <c r="C40" s="8">
        <v>23453</v>
      </c>
      <c r="D40" s="8">
        <v>176</v>
      </c>
      <c r="E40" s="8">
        <v>0</v>
      </c>
      <c r="F40" s="8">
        <v>0</v>
      </c>
      <c r="G40" s="546">
        <f t="shared" si="0"/>
        <v>23629</v>
      </c>
      <c r="H40" s="361">
        <v>20298</v>
      </c>
      <c r="I40" s="428">
        <v>172</v>
      </c>
      <c r="J40" s="8">
        <v>0</v>
      </c>
      <c r="K40" s="8">
        <v>0</v>
      </c>
      <c r="L40" s="428">
        <f t="shared" si="1"/>
        <v>20470</v>
      </c>
      <c r="M40" s="546">
        <f t="shared" si="2"/>
        <v>3207084</v>
      </c>
      <c r="N40" s="546">
        <f t="shared" si="3"/>
        <v>27176</v>
      </c>
      <c r="O40" s="546">
        <f t="shared" si="4"/>
        <v>0</v>
      </c>
      <c r="P40" s="546">
        <f t="shared" si="5"/>
        <v>0</v>
      </c>
      <c r="Q40" s="546">
        <f t="shared" si="6"/>
        <v>3234260</v>
      </c>
      <c r="R40" s="601"/>
    </row>
    <row r="41" spans="1:18">
      <c r="A41" s="204">
        <f t="shared" si="7"/>
        <v>31</v>
      </c>
      <c r="B41" s="502" t="s">
        <v>612</v>
      </c>
      <c r="C41" s="8">
        <v>17916</v>
      </c>
      <c r="D41" s="8">
        <v>59</v>
      </c>
      <c r="E41" s="8">
        <v>0</v>
      </c>
      <c r="F41" s="8">
        <v>23</v>
      </c>
      <c r="G41" s="546">
        <f t="shared" si="0"/>
        <v>17998</v>
      </c>
      <c r="H41" s="361">
        <v>16030</v>
      </c>
      <c r="I41" s="428">
        <v>50</v>
      </c>
      <c r="J41" s="8">
        <v>0</v>
      </c>
      <c r="K41" s="8">
        <v>20</v>
      </c>
      <c r="L41" s="428">
        <f t="shared" si="1"/>
        <v>16100</v>
      </c>
      <c r="M41" s="546">
        <f t="shared" si="2"/>
        <v>2532740</v>
      </c>
      <c r="N41" s="546">
        <f t="shared" si="3"/>
        <v>7900</v>
      </c>
      <c r="O41" s="546">
        <f t="shared" si="4"/>
        <v>0</v>
      </c>
      <c r="P41" s="546">
        <f t="shared" si="5"/>
        <v>3160</v>
      </c>
      <c r="Q41" s="546">
        <f t="shared" si="6"/>
        <v>2543800</v>
      </c>
      <c r="R41" s="601"/>
    </row>
    <row r="42" spans="1:18">
      <c r="A42" s="204">
        <f t="shared" si="7"/>
        <v>32</v>
      </c>
      <c r="B42" s="502" t="s">
        <v>613</v>
      </c>
      <c r="C42" s="8">
        <v>19432</v>
      </c>
      <c r="D42" s="8">
        <v>1849</v>
      </c>
      <c r="E42" s="8">
        <v>0</v>
      </c>
      <c r="F42" s="8">
        <v>1204</v>
      </c>
      <c r="G42" s="546">
        <f t="shared" si="0"/>
        <v>22485</v>
      </c>
      <c r="H42" s="361">
        <v>17740</v>
      </c>
      <c r="I42" s="428">
        <v>1654</v>
      </c>
      <c r="J42" s="8">
        <v>0</v>
      </c>
      <c r="K42" s="8">
        <v>1016</v>
      </c>
      <c r="L42" s="428">
        <f t="shared" si="1"/>
        <v>20410</v>
      </c>
      <c r="M42" s="546">
        <f t="shared" si="2"/>
        <v>2802920</v>
      </c>
      <c r="N42" s="546">
        <f t="shared" si="3"/>
        <v>261332</v>
      </c>
      <c r="O42" s="546">
        <f t="shared" si="4"/>
        <v>0</v>
      </c>
      <c r="P42" s="546">
        <f t="shared" si="5"/>
        <v>160528</v>
      </c>
      <c r="Q42" s="546">
        <f t="shared" si="6"/>
        <v>3224780</v>
      </c>
      <c r="R42" s="601"/>
    </row>
    <row r="43" spans="1:18">
      <c r="A43" s="204">
        <f t="shared" si="7"/>
        <v>33</v>
      </c>
      <c r="B43" s="502" t="s">
        <v>614</v>
      </c>
      <c r="C43" s="8">
        <v>19189</v>
      </c>
      <c r="D43" s="8">
        <v>244</v>
      </c>
      <c r="E43" s="8">
        <v>0</v>
      </c>
      <c r="F43" s="8">
        <v>136</v>
      </c>
      <c r="G43" s="546">
        <f t="shared" si="0"/>
        <v>19569</v>
      </c>
      <c r="H43" s="361">
        <v>17380</v>
      </c>
      <c r="I43" s="428">
        <v>198</v>
      </c>
      <c r="J43" s="8">
        <v>0</v>
      </c>
      <c r="K43" s="8">
        <v>96</v>
      </c>
      <c r="L43" s="428">
        <f t="shared" si="1"/>
        <v>17674</v>
      </c>
      <c r="M43" s="546">
        <f t="shared" si="2"/>
        <v>2746040</v>
      </c>
      <c r="N43" s="546">
        <f t="shared" si="3"/>
        <v>31284</v>
      </c>
      <c r="O43" s="546">
        <f t="shared" si="4"/>
        <v>0</v>
      </c>
      <c r="P43" s="546">
        <f t="shared" si="5"/>
        <v>15168</v>
      </c>
      <c r="Q43" s="546">
        <f t="shared" si="6"/>
        <v>2792492</v>
      </c>
      <c r="R43" s="601"/>
    </row>
    <row r="44" spans="1:18" s="5" customFormat="1">
      <c r="A44" s="274"/>
      <c r="B44" s="274" t="s">
        <v>615</v>
      </c>
      <c r="C44" s="17">
        <f>SUM(C11:C43)</f>
        <v>1075764</v>
      </c>
      <c r="D44" s="17">
        <f t="shared" ref="D44:Q44" si="8">SUM(D11:D43)</f>
        <v>51551</v>
      </c>
      <c r="E44" s="17">
        <f t="shared" si="8"/>
        <v>0</v>
      </c>
      <c r="F44" s="17">
        <f t="shared" si="8"/>
        <v>8855</v>
      </c>
      <c r="G44" s="17">
        <f t="shared" si="8"/>
        <v>1136170</v>
      </c>
      <c r="H44" s="17">
        <f t="shared" si="8"/>
        <v>943504</v>
      </c>
      <c r="I44" s="362">
        <f t="shared" si="8"/>
        <v>46189</v>
      </c>
      <c r="J44" s="17">
        <f t="shared" si="8"/>
        <v>0</v>
      </c>
      <c r="K44" s="17">
        <f t="shared" si="8"/>
        <v>7997</v>
      </c>
      <c r="L44" s="362">
        <f t="shared" si="8"/>
        <v>997690</v>
      </c>
      <c r="M44" s="17">
        <f t="shared" si="8"/>
        <v>149073632</v>
      </c>
      <c r="N44" s="17">
        <f t="shared" si="8"/>
        <v>7297862</v>
      </c>
      <c r="O44" s="17">
        <f t="shared" si="8"/>
        <v>0</v>
      </c>
      <c r="P44" s="17">
        <f t="shared" si="8"/>
        <v>1263526</v>
      </c>
      <c r="Q44" s="17">
        <f t="shared" si="8"/>
        <v>157635020</v>
      </c>
      <c r="R44" s="18"/>
    </row>
    <row r="45" spans="1:18">
      <c r="A45" s="9" t="s">
        <v>8</v>
      </c>
      <c r="C45" s="367"/>
      <c r="D45" s="367"/>
      <c r="E45" s="367"/>
      <c r="F45" s="367"/>
      <c r="G45" s="367"/>
      <c r="H45" s="429"/>
      <c r="I45" s="10"/>
      <c r="J45" s="10"/>
      <c r="K45" s="10"/>
      <c r="L45" s="495"/>
      <c r="M45" s="10"/>
      <c r="N45" s="379"/>
      <c r="O45" s="379"/>
      <c r="P45" s="379"/>
      <c r="Q45" s="379"/>
    </row>
    <row r="46" spans="1:18">
      <c r="A46" s="173" t="s">
        <v>9</v>
      </c>
    </row>
    <row r="47" spans="1:18">
      <c r="A47" s="173" t="s">
        <v>10</v>
      </c>
      <c r="I47" s="379"/>
      <c r="J47" s="3"/>
      <c r="K47" s="3"/>
      <c r="L47" s="3"/>
    </row>
    <row r="48" spans="1:18">
      <c r="A48" s="173" t="s">
        <v>419</v>
      </c>
      <c r="J48" s="3"/>
      <c r="K48" s="3"/>
      <c r="L48" s="3"/>
    </row>
    <row r="49" spans="1:18">
      <c r="C49" s="173" t="s">
        <v>420</v>
      </c>
      <c r="E49" s="10"/>
      <c r="F49" s="10"/>
      <c r="G49" s="10"/>
      <c r="H49" s="10"/>
      <c r="I49" s="10"/>
      <c r="J49" s="10"/>
      <c r="K49" s="10"/>
      <c r="L49" s="10"/>
      <c r="M49" s="10"/>
    </row>
    <row r="50" spans="1:18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</row>
    <row r="51" spans="1:18" ht="15.75">
      <c r="M51" s="761" t="s">
        <v>908</v>
      </c>
      <c r="N51" s="761"/>
      <c r="O51" s="761"/>
      <c r="P51" s="761"/>
      <c r="Q51" s="761"/>
      <c r="R51" s="591"/>
    </row>
    <row r="52" spans="1:18" ht="15.75">
      <c r="M52" s="761" t="s">
        <v>646</v>
      </c>
      <c r="N52" s="761"/>
      <c r="O52" s="761"/>
      <c r="P52" s="761"/>
      <c r="Q52" s="761"/>
      <c r="R52" s="591"/>
    </row>
  </sheetData>
  <mergeCells count="13">
    <mergeCell ref="M51:Q51"/>
    <mergeCell ref="M52:Q52"/>
    <mergeCell ref="A2:Q2"/>
    <mergeCell ref="A3:Q3"/>
    <mergeCell ref="A5:Q5"/>
    <mergeCell ref="A50:L50"/>
    <mergeCell ref="O1:Q1"/>
    <mergeCell ref="A8:A9"/>
    <mergeCell ref="B8:B9"/>
    <mergeCell ref="C8:G8"/>
    <mergeCell ref="H8:L8"/>
    <mergeCell ref="M8:Q8"/>
    <mergeCell ref="O7:Q7"/>
  </mergeCells>
  <phoneticPr fontId="0" type="noConversion"/>
  <printOptions horizontalCentered="1"/>
  <pageMargins left="0.5" right="0.47" top="0.42" bottom="0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view="pageBreakPreview" topLeftCell="A43" zoomScale="80" zoomScaleNormal="70" zoomScaleSheetLayoutView="80" workbookViewId="0">
      <selection activeCell="M29" sqref="M29"/>
    </sheetView>
  </sheetViews>
  <sheetFormatPr defaultColWidth="9.140625" defaultRowHeight="12.75"/>
  <cols>
    <col min="1" max="1" width="7.140625" style="173" customWidth="1"/>
    <col min="2" max="2" width="21.5703125" style="173" customWidth="1"/>
    <col min="3" max="3" width="9.5703125" style="173" customWidth="1"/>
    <col min="4" max="4" width="9.28515625" style="173" customWidth="1"/>
    <col min="5" max="6" width="9.140625" style="173"/>
    <col min="7" max="7" width="10.85546875" style="173" customWidth="1"/>
    <col min="8" max="8" width="10.28515625" style="173" customWidth="1"/>
    <col min="9" max="9" width="10.85546875" style="173" customWidth="1"/>
    <col min="10" max="10" width="10.28515625" style="173" customWidth="1"/>
    <col min="11" max="11" width="11.28515625" style="173" customWidth="1"/>
    <col min="12" max="12" width="11.7109375" style="173" customWidth="1"/>
    <col min="13" max="13" width="12" style="173" customWidth="1"/>
    <col min="14" max="14" width="10.140625" style="173" customWidth="1"/>
    <col min="15" max="15" width="8.85546875" style="173" customWidth="1"/>
    <col min="16" max="16" width="9.140625" style="173"/>
    <col min="17" max="17" width="12" style="173" customWidth="1"/>
    <col min="18" max="18" width="9.140625" style="173" hidden="1" customWidth="1"/>
    <col min="19" max="19" width="9.140625" style="610" customWidth="1"/>
    <col min="20" max="16384" width="9.140625" style="173"/>
  </cols>
  <sheetData>
    <row r="1" spans="1:20" ht="12.75" customHeight="1">
      <c r="O1" s="698" t="s">
        <v>57</v>
      </c>
      <c r="P1" s="698"/>
      <c r="Q1" s="698"/>
    </row>
    <row r="2" spans="1:20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</row>
    <row r="3" spans="1:20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</row>
    <row r="4" spans="1:20" ht="11.25" customHeight="1"/>
    <row r="5" spans="1:20" ht="15.75" customHeight="1">
      <c r="A5" s="805" t="s">
        <v>761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</row>
    <row r="7" spans="1:20" s="5" customFormat="1">
      <c r="A7" s="21" t="s">
        <v>658</v>
      </c>
      <c r="B7" s="21"/>
      <c r="N7" s="793" t="s">
        <v>774</v>
      </c>
      <c r="O7" s="793"/>
      <c r="P7" s="793"/>
      <c r="Q7" s="793"/>
      <c r="S7" s="542"/>
    </row>
    <row r="8" spans="1:20" s="5" customFormat="1" ht="29.45" customHeight="1">
      <c r="A8" s="668" t="s">
        <v>2</v>
      </c>
      <c r="B8" s="668" t="s">
        <v>3</v>
      </c>
      <c r="C8" s="701" t="s">
        <v>822</v>
      </c>
      <c r="D8" s="701"/>
      <c r="E8" s="701"/>
      <c r="F8" s="806"/>
      <c r="G8" s="806"/>
      <c r="H8" s="800" t="s">
        <v>549</v>
      </c>
      <c r="I8" s="701"/>
      <c r="J8" s="701"/>
      <c r="K8" s="701"/>
      <c r="L8" s="701"/>
      <c r="M8" s="677" t="s">
        <v>105</v>
      </c>
      <c r="N8" s="678"/>
      <c r="O8" s="678"/>
      <c r="P8" s="678"/>
      <c r="Q8" s="679"/>
      <c r="S8" s="542"/>
    </row>
    <row r="9" spans="1:20" s="5" customFormat="1" ht="38.25">
      <c r="A9" s="668"/>
      <c r="B9" s="668"/>
      <c r="C9" s="150" t="s">
        <v>209</v>
      </c>
      <c r="D9" s="150" t="s">
        <v>210</v>
      </c>
      <c r="E9" s="150" t="s">
        <v>347</v>
      </c>
      <c r="F9" s="152" t="s">
        <v>216</v>
      </c>
      <c r="G9" s="152" t="s">
        <v>113</v>
      </c>
      <c r="H9" s="150" t="s">
        <v>209</v>
      </c>
      <c r="I9" s="150" t="s">
        <v>210</v>
      </c>
      <c r="J9" s="150" t="s">
        <v>347</v>
      </c>
      <c r="K9" s="150" t="s">
        <v>216</v>
      </c>
      <c r="L9" s="150" t="s">
        <v>114</v>
      </c>
      <c r="M9" s="150" t="s">
        <v>209</v>
      </c>
      <c r="N9" s="150" t="s">
        <v>210</v>
      </c>
      <c r="O9" s="150" t="s">
        <v>347</v>
      </c>
      <c r="P9" s="152" t="s">
        <v>216</v>
      </c>
      <c r="Q9" s="150" t="s">
        <v>115</v>
      </c>
      <c r="R9" s="17"/>
      <c r="S9" s="18"/>
    </row>
    <row r="10" spans="1:20" s="5" customFormat="1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2">
        <v>6</v>
      </c>
      <c r="G10" s="150">
        <v>7</v>
      </c>
      <c r="H10" s="150">
        <v>8</v>
      </c>
      <c r="I10" s="150">
        <v>9</v>
      </c>
      <c r="J10" s="150">
        <v>10</v>
      </c>
      <c r="K10" s="150">
        <v>11</v>
      </c>
      <c r="L10" s="150">
        <v>12</v>
      </c>
      <c r="M10" s="150">
        <v>13</v>
      </c>
      <c r="N10" s="144">
        <v>14</v>
      </c>
      <c r="O10" s="159">
        <v>15</v>
      </c>
      <c r="P10" s="150">
        <v>16</v>
      </c>
      <c r="Q10" s="150">
        <v>17</v>
      </c>
      <c r="S10" s="542"/>
    </row>
    <row r="11" spans="1:20">
      <c r="A11" s="204">
        <v>1</v>
      </c>
      <c r="B11" s="204" t="s">
        <v>624</v>
      </c>
      <c r="C11" s="8">
        <v>15772</v>
      </c>
      <c r="D11" s="8">
        <v>167</v>
      </c>
      <c r="E11" s="8">
        <v>0</v>
      </c>
      <c r="F11" s="15">
        <v>329</v>
      </c>
      <c r="G11" s="15">
        <f>SUM(C11:F11)</f>
        <v>16268</v>
      </c>
      <c r="H11" s="428">
        <v>14437</v>
      </c>
      <c r="I11" s="8">
        <v>158</v>
      </c>
      <c r="J11" s="8">
        <v>0</v>
      </c>
      <c r="K11" s="8">
        <v>310</v>
      </c>
      <c r="L11" s="428">
        <f>SUM(H11:K11)</f>
        <v>14905</v>
      </c>
      <c r="M11" s="428">
        <f>H11*158</f>
        <v>2281046</v>
      </c>
      <c r="N11" s="428">
        <f>I11*158</f>
        <v>24964</v>
      </c>
      <c r="O11" s="428">
        <f>J11*214</f>
        <v>0</v>
      </c>
      <c r="P11" s="428">
        <f>K11*158</f>
        <v>48980</v>
      </c>
      <c r="Q11" s="428">
        <f>SUM(M11:P11)</f>
        <v>2354990</v>
      </c>
    </row>
    <row r="12" spans="1:20">
      <c r="A12" s="204">
        <f>A11+1</f>
        <v>2</v>
      </c>
      <c r="B12" s="204" t="s">
        <v>589</v>
      </c>
      <c r="C12" s="8">
        <v>15342</v>
      </c>
      <c r="D12" s="8">
        <v>1673</v>
      </c>
      <c r="E12" s="546">
        <v>418</v>
      </c>
      <c r="F12" s="15">
        <v>0</v>
      </c>
      <c r="G12" s="15">
        <f t="shared" ref="G12:G43" si="0">SUM(C12:F12)</f>
        <v>17433</v>
      </c>
      <c r="H12" s="428">
        <v>12954</v>
      </c>
      <c r="I12" s="8">
        <v>1576</v>
      </c>
      <c r="J12" s="8">
        <v>366</v>
      </c>
      <c r="K12" s="8">
        <v>0</v>
      </c>
      <c r="L12" s="428">
        <f t="shared" ref="L12:L43" si="1">SUM(H12:K12)</f>
        <v>14896</v>
      </c>
      <c r="M12" s="428">
        <f t="shared" ref="M12:M43" si="2">H12*158</f>
        <v>2046732</v>
      </c>
      <c r="N12" s="428">
        <f t="shared" ref="N12:N43" si="3">I12*158</f>
        <v>249008</v>
      </c>
      <c r="O12" s="428">
        <f t="shared" ref="O12:O43" si="4">J12*214</f>
        <v>78324</v>
      </c>
      <c r="P12" s="428">
        <f t="shared" ref="P12:P43" si="5">K12*158</f>
        <v>0</v>
      </c>
      <c r="Q12" s="428">
        <f t="shared" ref="Q12:Q43" si="6">SUM(M12:P12)</f>
        <v>2374064</v>
      </c>
      <c r="T12" s="604"/>
    </row>
    <row r="13" spans="1:20">
      <c r="A13" s="204">
        <f t="shared" ref="A13:A43" si="7">A12+1</f>
        <v>3</v>
      </c>
      <c r="B13" s="204" t="s">
        <v>625</v>
      </c>
      <c r="C13" s="8">
        <v>32117</v>
      </c>
      <c r="D13" s="8">
        <v>12142</v>
      </c>
      <c r="E13" s="546">
        <v>0</v>
      </c>
      <c r="F13" s="15">
        <v>44</v>
      </c>
      <c r="G13" s="15">
        <f t="shared" si="0"/>
        <v>44303</v>
      </c>
      <c r="H13" s="428">
        <v>27865</v>
      </c>
      <c r="I13" s="417">
        <v>9785</v>
      </c>
      <c r="J13" s="417">
        <v>0</v>
      </c>
      <c r="K13" s="417">
        <v>41</v>
      </c>
      <c r="L13" s="428">
        <f t="shared" si="1"/>
        <v>37691</v>
      </c>
      <c r="M13" s="428">
        <f t="shared" si="2"/>
        <v>4402670</v>
      </c>
      <c r="N13" s="428">
        <f t="shared" si="3"/>
        <v>1546030</v>
      </c>
      <c r="O13" s="428">
        <f t="shared" si="4"/>
        <v>0</v>
      </c>
      <c r="P13" s="428">
        <f t="shared" si="5"/>
        <v>6478</v>
      </c>
      <c r="Q13" s="428">
        <f t="shared" si="6"/>
        <v>5955178</v>
      </c>
      <c r="T13" s="604"/>
    </row>
    <row r="14" spans="1:20">
      <c r="A14" s="204">
        <f t="shared" si="7"/>
        <v>4</v>
      </c>
      <c r="B14" s="204" t="s">
        <v>590</v>
      </c>
      <c r="C14" s="8">
        <v>18819</v>
      </c>
      <c r="D14" s="8">
        <v>9</v>
      </c>
      <c r="E14" s="546">
        <v>0</v>
      </c>
      <c r="F14" s="15">
        <v>0</v>
      </c>
      <c r="G14" s="15">
        <f t="shared" si="0"/>
        <v>18828</v>
      </c>
      <c r="H14" s="428">
        <v>16286</v>
      </c>
      <c r="I14" s="8">
        <v>8</v>
      </c>
      <c r="J14" s="8">
        <v>0</v>
      </c>
      <c r="K14" s="8">
        <v>0</v>
      </c>
      <c r="L14" s="428">
        <f t="shared" si="1"/>
        <v>16294</v>
      </c>
      <c r="M14" s="428">
        <f t="shared" si="2"/>
        <v>2573188</v>
      </c>
      <c r="N14" s="428">
        <f t="shared" si="3"/>
        <v>1264</v>
      </c>
      <c r="O14" s="428">
        <f t="shared" si="4"/>
        <v>0</v>
      </c>
      <c r="P14" s="428">
        <f t="shared" si="5"/>
        <v>0</v>
      </c>
      <c r="Q14" s="428">
        <f t="shared" si="6"/>
        <v>2574452</v>
      </c>
      <c r="T14" s="604"/>
    </row>
    <row r="15" spans="1:20">
      <c r="A15" s="204">
        <f t="shared" si="7"/>
        <v>5</v>
      </c>
      <c r="B15" s="204" t="s">
        <v>591</v>
      </c>
      <c r="C15" s="8">
        <v>12249</v>
      </c>
      <c r="D15" s="8">
        <v>94</v>
      </c>
      <c r="E15" s="546">
        <v>0</v>
      </c>
      <c r="F15" s="15">
        <v>0</v>
      </c>
      <c r="G15" s="15">
        <f t="shared" si="0"/>
        <v>12343</v>
      </c>
      <c r="H15" s="428">
        <v>10714</v>
      </c>
      <c r="I15" s="8">
        <v>89</v>
      </c>
      <c r="J15" s="8">
        <v>0</v>
      </c>
      <c r="K15" s="8">
        <v>0</v>
      </c>
      <c r="L15" s="428">
        <f t="shared" si="1"/>
        <v>10803</v>
      </c>
      <c r="M15" s="428">
        <f t="shared" si="2"/>
        <v>1692812</v>
      </c>
      <c r="N15" s="428">
        <f t="shared" si="3"/>
        <v>14062</v>
      </c>
      <c r="O15" s="428">
        <f t="shared" si="4"/>
        <v>0</v>
      </c>
      <c r="P15" s="428">
        <f t="shared" si="5"/>
        <v>0</v>
      </c>
      <c r="Q15" s="428">
        <f t="shared" si="6"/>
        <v>1706874</v>
      </c>
      <c r="T15" s="604"/>
    </row>
    <row r="16" spans="1:20">
      <c r="A16" s="204">
        <f t="shared" si="7"/>
        <v>6</v>
      </c>
      <c r="B16" s="204" t="s">
        <v>592</v>
      </c>
      <c r="C16" s="8">
        <v>6205</v>
      </c>
      <c r="D16" s="8">
        <v>0</v>
      </c>
      <c r="E16" s="546">
        <v>0</v>
      </c>
      <c r="F16" s="15">
        <v>0</v>
      </c>
      <c r="G16" s="15">
        <f t="shared" si="0"/>
        <v>6205</v>
      </c>
      <c r="H16" s="428">
        <v>5468</v>
      </c>
      <c r="I16" s="8">
        <v>0</v>
      </c>
      <c r="J16" s="8">
        <v>0</v>
      </c>
      <c r="K16" s="8">
        <v>0</v>
      </c>
      <c r="L16" s="428">
        <f t="shared" si="1"/>
        <v>5468</v>
      </c>
      <c r="M16" s="428">
        <f t="shared" si="2"/>
        <v>863944</v>
      </c>
      <c r="N16" s="428">
        <f t="shared" si="3"/>
        <v>0</v>
      </c>
      <c r="O16" s="428">
        <f t="shared" si="4"/>
        <v>0</v>
      </c>
      <c r="P16" s="428">
        <f t="shared" si="5"/>
        <v>0</v>
      </c>
      <c r="Q16" s="428">
        <f t="shared" si="6"/>
        <v>863944</v>
      </c>
      <c r="T16" s="604"/>
    </row>
    <row r="17" spans="1:20">
      <c r="A17" s="204">
        <f t="shared" si="7"/>
        <v>7</v>
      </c>
      <c r="B17" s="204" t="s">
        <v>593</v>
      </c>
      <c r="C17" s="8">
        <v>17681</v>
      </c>
      <c r="D17" s="8">
        <v>75</v>
      </c>
      <c r="E17" s="546">
        <v>0</v>
      </c>
      <c r="F17" s="15">
        <v>120</v>
      </c>
      <c r="G17" s="15">
        <f t="shared" si="0"/>
        <v>17876</v>
      </c>
      <c r="H17" s="428">
        <v>15489</v>
      </c>
      <c r="I17" s="8">
        <v>65</v>
      </c>
      <c r="J17" s="8">
        <v>0</v>
      </c>
      <c r="K17" s="8">
        <v>109</v>
      </c>
      <c r="L17" s="428">
        <f t="shared" si="1"/>
        <v>15663</v>
      </c>
      <c r="M17" s="428">
        <f t="shared" si="2"/>
        <v>2447262</v>
      </c>
      <c r="N17" s="428">
        <f t="shared" si="3"/>
        <v>10270</v>
      </c>
      <c r="O17" s="428">
        <f t="shared" si="4"/>
        <v>0</v>
      </c>
      <c r="P17" s="428">
        <f t="shared" si="5"/>
        <v>17222</v>
      </c>
      <c r="Q17" s="428">
        <f t="shared" si="6"/>
        <v>2474754</v>
      </c>
      <c r="T17" s="604"/>
    </row>
    <row r="18" spans="1:20">
      <c r="A18" s="204">
        <f t="shared" si="7"/>
        <v>8</v>
      </c>
      <c r="B18" s="204" t="s">
        <v>594</v>
      </c>
      <c r="C18" s="8">
        <v>24106</v>
      </c>
      <c r="D18" s="8">
        <v>167</v>
      </c>
      <c r="E18" s="546">
        <v>215</v>
      </c>
      <c r="F18" s="15">
        <v>0</v>
      </c>
      <c r="G18" s="15">
        <f t="shared" si="0"/>
        <v>24488</v>
      </c>
      <c r="H18" s="428">
        <v>20752</v>
      </c>
      <c r="I18" s="8">
        <v>155</v>
      </c>
      <c r="J18" s="8">
        <v>182</v>
      </c>
      <c r="K18" s="8">
        <v>0</v>
      </c>
      <c r="L18" s="428">
        <f t="shared" si="1"/>
        <v>21089</v>
      </c>
      <c r="M18" s="428">
        <f t="shared" si="2"/>
        <v>3278816</v>
      </c>
      <c r="N18" s="428">
        <f t="shared" si="3"/>
        <v>24490</v>
      </c>
      <c r="O18" s="428">
        <f t="shared" si="4"/>
        <v>38948</v>
      </c>
      <c r="P18" s="428">
        <f t="shared" si="5"/>
        <v>0</v>
      </c>
      <c r="Q18" s="428">
        <f t="shared" si="6"/>
        <v>3342254</v>
      </c>
      <c r="T18" s="604"/>
    </row>
    <row r="19" spans="1:20">
      <c r="A19" s="204">
        <f t="shared" si="7"/>
        <v>9</v>
      </c>
      <c r="B19" s="204" t="s">
        <v>595</v>
      </c>
      <c r="C19" s="8">
        <v>13812</v>
      </c>
      <c r="D19" s="8">
        <v>627</v>
      </c>
      <c r="E19" s="546">
        <v>0</v>
      </c>
      <c r="F19" s="15">
        <v>0</v>
      </c>
      <c r="G19" s="15">
        <f t="shared" si="0"/>
        <v>14439</v>
      </c>
      <c r="H19" s="428">
        <v>11785</v>
      </c>
      <c r="I19" s="8">
        <v>602</v>
      </c>
      <c r="J19" s="8">
        <v>0</v>
      </c>
      <c r="K19" s="8">
        <v>0</v>
      </c>
      <c r="L19" s="428">
        <f t="shared" si="1"/>
        <v>12387</v>
      </c>
      <c r="M19" s="428">
        <f t="shared" si="2"/>
        <v>1862030</v>
      </c>
      <c r="N19" s="428">
        <f t="shared" si="3"/>
        <v>95116</v>
      </c>
      <c r="O19" s="428">
        <f t="shared" si="4"/>
        <v>0</v>
      </c>
      <c r="P19" s="428">
        <f t="shared" si="5"/>
        <v>0</v>
      </c>
      <c r="Q19" s="428">
        <f t="shared" si="6"/>
        <v>1957146</v>
      </c>
      <c r="T19" s="604"/>
    </row>
    <row r="20" spans="1:20">
      <c r="A20" s="204">
        <f t="shared" si="7"/>
        <v>10</v>
      </c>
      <c r="B20" s="204" t="s">
        <v>596</v>
      </c>
      <c r="C20" s="8">
        <v>24062</v>
      </c>
      <c r="D20" s="8">
        <v>998</v>
      </c>
      <c r="E20" s="546">
        <v>199</v>
      </c>
      <c r="F20" s="15">
        <v>0</v>
      </c>
      <c r="G20" s="15">
        <f t="shared" si="0"/>
        <v>25259</v>
      </c>
      <c r="H20" s="428">
        <v>20461</v>
      </c>
      <c r="I20" s="8">
        <v>936</v>
      </c>
      <c r="J20" s="8">
        <v>189</v>
      </c>
      <c r="K20" s="8">
        <v>0</v>
      </c>
      <c r="L20" s="428">
        <f t="shared" si="1"/>
        <v>21586</v>
      </c>
      <c r="M20" s="428">
        <f t="shared" si="2"/>
        <v>3232838</v>
      </c>
      <c r="N20" s="428">
        <f t="shared" si="3"/>
        <v>147888</v>
      </c>
      <c r="O20" s="428">
        <f t="shared" si="4"/>
        <v>40446</v>
      </c>
      <c r="P20" s="428">
        <f t="shared" si="5"/>
        <v>0</v>
      </c>
      <c r="Q20" s="428">
        <f t="shared" si="6"/>
        <v>3421172</v>
      </c>
      <c r="T20" s="604"/>
    </row>
    <row r="21" spans="1:20">
      <c r="A21" s="204">
        <f t="shared" si="7"/>
        <v>11</v>
      </c>
      <c r="B21" s="204" t="s">
        <v>626</v>
      </c>
      <c r="C21" s="8">
        <v>10205</v>
      </c>
      <c r="D21" s="8">
        <v>342</v>
      </c>
      <c r="E21" s="546">
        <v>0</v>
      </c>
      <c r="F21" s="15">
        <v>59</v>
      </c>
      <c r="G21" s="15">
        <f t="shared" si="0"/>
        <v>10606</v>
      </c>
      <c r="H21" s="428">
        <v>9140</v>
      </c>
      <c r="I21" s="8">
        <v>301</v>
      </c>
      <c r="J21" s="8">
        <v>0</v>
      </c>
      <c r="K21" s="8">
        <v>55</v>
      </c>
      <c r="L21" s="428">
        <f t="shared" si="1"/>
        <v>9496</v>
      </c>
      <c r="M21" s="428">
        <f t="shared" si="2"/>
        <v>1444120</v>
      </c>
      <c r="N21" s="428">
        <f t="shared" si="3"/>
        <v>47558</v>
      </c>
      <c r="O21" s="428">
        <f t="shared" si="4"/>
        <v>0</v>
      </c>
      <c r="P21" s="428">
        <f t="shared" si="5"/>
        <v>8690</v>
      </c>
      <c r="Q21" s="428">
        <f t="shared" si="6"/>
        <v>1500368</v>
      </c>
      <c r="T21" s="604"/>
    </row>
    <row r="22" spans="1:20">
      <c r="A22" s="204">
        <f t="shared" si="7"/>
        <v>12</v>
      </c>
      <c r="B22" s="204" t="s">
        <v>597</v>
      </c>
      <c r="C22" s="8">
        <v>13406</v>
      </c>
      <c r="D22" s="8">
        <v>34</v>
      </c>
      <c r="E22" s="546">
        <v>161</v>
      </c>
      <c r="F22" s="15">
        <v>48</v>
      </c>
      <c r="G22" s="15">
        <f t="shared" si="0"/>
        <v>13649</v>
      </c>
      <c r="H22" s="428">
        <v>12082</v>
      </c>
      <c r="I22" s="8">
        <v>25</v>
      </c>
      <c r="J22" s="8">
        <v>153</v>
      </c>
      <c r="K22" s="8">
        <v>46</v>
      </c>
      <c r="L22" s="428">
        <f t="shared" si="1"/>
        <v>12306</v>
      </c>
      <c r="M22" s="428">
        <f t="shared" si="2"/>
        <v>1908956</v>
      </c>
      <c r="N22" s="428">
        <f t="shared" si="3"/>
        <v>3950</v>
      </c>
      <c r="O22" s="428">
        <f t="shared" si="4"/>
        <v>32742</v>
      </c>
      <c r="P22" s="428">
        <f t="shared" si="5"/>
        <v>7268</v>
      </c>
      <c r="Q22" s="428">
        <f t="shared" si="6"/>
        <v>1952916</v>
      </c>
      <c r="T22" s="604"/>
    </row>
    <row r="23" spans="1:20">
      <c r="A23" s="204">
        <f t="shared" si="7"/>
        <v>13</v>
      </c>
      <c r="B23" s="204" t="s">
        <v>598</v>
      </c>
      <c r="C23" s="8">
        <v>23075</v>
      </c>
      <c r="D23" s="8">
        <v>706</v>
      </c>
      <c r="E23" s="546">
        <v>30</v>
      </c>
      <c r="F23" s="15">
        <v>65</v>
      </c>
      <c r="G23" s="15">
        <f t="shared" si="0"/>
        <v>23876</v>
      </c>
      <c r="H23" s="428">
        <v>19290</v>
      </c>
      <c r="I23" s="8">
        <v>678</v>
      </c>
      <c r="J23" s="8">
        <v>29</v>
      </c>
      <c r="K23" s="8">
        <v>60</v>
      </c>
      <c r="L23" s="428">
        <f t="shared" si="1"/>
        <v>20057</v>
      </c>
      <c r="M23" s="428">
        <f t="shared" si="2"/>
        <v>3047820</v>
      </c>
      <c r="N23" s="428">
        <f t="shared" si="3"/>
        <v>107124</v>
      </c>
      <c r="O23" s="428">
        <f t="shared" si="4"/>
        <v>6206</v>
      </c>
      <c r="P23" s="428">
        <f t="shared" si="5"/>
        <v>9480</v>
      </c>
      <c r="Q23" s="428">
        <f t="shared" si="6"/>
        <v>3170630</v>
      </c>
      <c r="T23" s="604"/>
    </row>
    <row r="24" spans="1:20">
      <c r="A24" s="204">
        <f t="shared" si="7"/>
        <v>14</v>
      </c>
      <c r="B24" s="204" t="s">
        <v>627</v>
      </c>
      <c r="C24" s="8">
        <v>14294</v>
      </c>
      <c r="D24" s="8">
        <v>1123</v>
      </c>
      <c r="E24" s="546">
        <v>0</v>
      </c>
      <c r="F24" s="15">
        <v>0</v>
      </c>
      <c r="G24" s="15">
        <f t="shared" si="0"/>
        <v>15417</v>
      </c>
      <c r="H24" s="428">
        <v>12124</v>
      </c>
      <c r="I24" s="8">
        <v>965</v>
      </c>
      <c r="J24" s="8">
        <v>0</v>
      </c>
      <c r="K24" s="8">
        <v>0</v>
      </c>
      <c r="L24" s="428">
        <f t="shared" si="1"/>
        <v>13089</v>
      </c>
      <c r="M24" s="428">
        <f t="shared" si="2"/>
        <v>1915592</v>
      </c>
      <c r="N24" s="428">
        <f t="shared" si="3"/>
        <v>152470</v>
      </c>
      <c r="O24" s="428">
        <f t="shared" si="4"/>
        <v>0</v>
      </c>
      <c r="P24" s="428">
        <f t="shared" si="5"/>
        <v>0</v>
      </c>
      <c r="Q24" s="428">
        <f t="shared" si="6"/>
        <v>2068062</v>
      </c>
      <c r="T24" s="604"/>
    </row>
    <row r="25" spans="1:20">
      <c r="A25" s="204">
        <f t="shared" si="7"/>
        <v>15</v>
      </c>
      <c r="B25" s="204" t="s">
        <v>599</v>
      </c>
      <c r="C25" s="8">
        <v>24296</v>
      </c>
      <c r="D25" s="8">
        <v>102</v>
      </c>
      <c r="E25" s="546">
        <v>0</v>
      </c>
      <c r="F25" s="15">
        <v>0</v>
      </c>
      <c r="G25" s="15">
        <f t="shared" si="0"/>
        <v>24398</v>
      </c>
      <c r="H25" s="428">
        <v>21092</v>
      </c>
      <c r="I25" s="8">
        <v>83</v>
      </c>
      <c r="J25" s="8">
        <v>0</v>
      </c>
      <c r="K25" s="8">
        <v>0</v>
      </c>
      <c r="L25" s="428">
        <f t="shared" si="1"/>
        <v>21175</v>
      </c>
      <c r="M25" s="428">
        <f t="shared" si="2"/>
        <v>3332536</v>
      </c>
      <c r="N25" s="428">
        <f t="shared" si="3"/>
        <v>13114</v>
      </c>
      <c r="O25" s="428">
        <f t="shared" si="4"/>
        <v>0</v>
      </c>
      <c r="P25" s="428">
        <f t="shared" si="5"/>
        <v>0</v>
      </c>
      <c r="Q25" s="428">
        <f t="shared" si="6"/>
        <v>3345650</v>
      </c>
      <c r="T25" s="604"/>
    </row>
    <row r="26" spans="1:20">
      <c r="A26" s="204">
        <f t="shared" si="7"/>
        <v>16</v>
      </c>
      <c r="B26" s="204" t="s">
        <v>600</v>
      </c>
      <c r="C26" s="8">
        <v>25426</v>
      </c>
      <c r="D26" s="8">
        <v>187</v>
      </c>
      <c r="E26" s="546">
        <v>0</v>
      </c>
      <c r="F26" s="15">
        <v>196</v>
      </c>
      <c r="G26" s="15">
        <f t="shared" si="0"/>
        <v>25809</v>
      </c>
      <c r="H26" s="428">
        <v>22254</v>
      </c>
      <c r="I26" s="417">
        <v>176</v>
      </c>
      <c r="J26" s="417">
        <v>0</v>
      </c>
      <c r="K26" s="417">
        <v>189</v>
      </c>
      <c r="L26" s="428">
        <f t="shared" si="1"/>
        <v>22619</v>
      </c>
      <c r="M26" s="428">
        <f t="shared" si="2"/>
        <v>3516132</v>
      </c>
      <c r="N26" s="428">
        <f t="shared" si="3"/>
        <v>27808</v>
      </c>
      <c r="O26" s="428">
        <f t="shared" si="4"/>
        <v>0</v>
      </c>
      <c r="P26" s="428">
        <f t="shared" si="5"/>
        <v>29862</v>
      </c>
      <c r="Q26" s="428">
        <f t="shared" si="6"/>
        <v>3573802</v>
      </c>
      <c r="T26" s="604"/>
    </row>
    <row r="27" spans="1:20" s="527" customFormat="1">
      <c r="A27" s="204">
        <f t="shared" si="7"/>
        <v>17</v>
      </c>
      <c r="B27" s="529" t="s">
        <v>684</v>
      </c>
      <c r="C27" s="8">
        <v>4321</v>
      </c>
      <c r="D27" s="8">
        <v>0</v>
      </c>
      <c r="E27" s="546">
        <v>45</v>
      </c>
      <c r="F27" s="15">
        <v>0</v>
      </c>
      <c r="G27" s="15">
        <f t="shared" si="0"/>
        <v>4366</v>
      </c>
      <c r="H27" s="428">
        <v>3823</v>
      </c>
      <c r="I27" s="417">
        <v>0</v>
      </c>
      <c r="J27" s="417">
        <v>39</v>
      </c>
      <c r="K27" s="417">
        <v>0</v>
      </c>
      <c r="L27" s="428">
        <f t="shared" si="1"/>
        <v>3862</v>
      </c>
      <c r="M27" s="428">
        <f t="shared" si="2"/>
        <v>604034</v>
      </c>
      <c r="N27" s="428">
        <f t="shared" si="3"/>
        <v>0</v>
      </c>
      <c r="O27" s="428">
        <f t="shared" si="4"/>
        <v>8346</v>
      </c>
      <c r="P27" s="428">
        <f t="shared" si="5"/>
        <v>0</v>
      </c>
      <c r="Q27" s="428">
        <f t="shared" si="6"/>
        <v>612380</v>
      </c>
      <c r="S27" s="610"/>
      <c r="T27" s="604"/>
    </row>
    <row r="28" spans="1:20">
      <c r="A28" s="204">
        <f t="shared" si="7"/>
        <v>18</v>
      </c>
      <c r="B28" s="204" t="s">
        <v>601</v>
      </c>
      <c r="C28" s="8">
        <v>19017</v>
      </c>
      <c r="D28" s="8">
        <v>219</v>
      </c>
      <c r="E28" s="546">
        <v>12</v>
      </c>
      <c r="F28" s="15">
        <v>0</v>
      </c>
      <c r="G28" s="15">
        <f t="shared" si="0"/>
        <v>19248</v>
      </c>
      <c r="H28" s="428">
        <v>16556</v>
      </c>
      <c r="I28" s="417">
        <v>202</v>
      </c>
      <c r="J28" s="417">
        <v>11</v>
      </c>
      <c r="K28" s="417">
        <v>0</v>
      </c>
      <c r="L28" s="428">
        <f t="shared" si="1"/>
        <v>16769</v>
      </c>
      <c r="M28" s="428">
        <f t="shared" si="2"/>
        <v>2615848</v>
      </c>
      <c r="N28" s="428">
        <f t="shared" si="3"/>
        <v>31916</v>
      </c>
      <c r="O28" s="428">
        <f t="shared" si="4"/>
        <v>2354</v>
      </c>
      <c r="P28" s="428">
        <f t="shared" si="5"/>
        <v>0</v>
      </c>
      <c r="Q28" s="428">
        <f t="shared" si="6"/>
        <v>2650118</v>
      </c>
      <c r="T28" s="604"/>
    </row>
    <row r="29" spans="1:20">
      <c r="A29" s="204">
        <f t="shared" si="7"/>
        <v>19</v>
      </c>
      <c r="B29" s="204" t="s">
        <v>602</v>
      </c>
      <c r="C29" s="8">
        <v>29256</v>
      </c>
      <c r="D29" s="8">
        <v>2348</v>
      </c>
      <c r="E29" s="546">
        <v>0</v>
      </c>
      <c r="F29" s="15">
        <v>41</v>
      </c>
      <c r="G29" s="15">
        <f t="shared" si="0"/>
        <v>31645</v>
      </c>
      <c r="H29" s="428">
        <v>26060</v>
      </c>
      <c r="I29" s="8">
        <v>2165</v>
      </c>
      <c r="J29" s="8">
        <v>0</v>
      </c>
      <c r="K29" s="8">
        <v>40</v>
      </c>
      <c r="L29" s="428">
        <f t="shared" si="1"/>
        <v>28265</v>
      </c>
      <c r="M29" s="428">
        <f t="shared" si="2"/>
        <v>4117480</v>
      </c>
      <c r="N29" s="428">
        <f t="shared" si="3"/>
        <v>342070</v>
      </c>
      <c r="O29" s="428">
        <f t="shared" si="4"/>
        <v>0</v>
      </c>
      <c r="P29" s="428">
        <f t="shared" si="5"/>
        <v>6320</v>
      </c>
      <c r="Q29" s="428">
        <f t="shared" si="6"/>
        <v>4465870</v>
      </c>
      <c r="T29" s="604"/>
    </row>
    <row r="30" spans="1:20" s="527" customFormat="1">
      <c r="A30" s="204">
        <f t="shared" si="7"/>
        <v>20</v>
      </c>
      <c r="B30" s="529" t="s">
        <v>683</v>
      </c>
      <c r="C30" s="8">
        <v>18100</v>
      </c>
      <c r="D30" s="8">
        <v>270</v>
      </c>
      <c r="E30" s="546">
        <v>0</v>
      </c>
      <c r="F30" s="15">
        <v>25</v>
      </c>
      <c r="G30" s="15">
        <f t="shared" si="0"/>
        <v>18395</v>
      </c>
      <c r="H30" s="428">
        <v>15850</v>
      </c>
      <c r="I30" s="8">
        <v>236</v>
      </c>
      <c r="J30" s="8">
        <v>0</v>
      </c>
      <c r="K30" s="8">
        <v>20</v>
      </c>
      <c r="L30" s="428">
        <f t="shared" si="1"/>
        <v>16106</v>
      </c>
      <c r="M30" s="428">
        <f t="shared" si="2"/>
        <v>2504300</v>
      </c>
      <c r="N30" s="428">
        <f t="shared" si="3"/>
        <v>37288</v>
      </c>
      <c r="O30" s="428">
        <f t="shared" si="4"/>
        <v>0</v>
      </c>
      <c r="P30" s="428">
        <f t="shared" si="5"/>
        <v>3160</v>
      </c>
      <c r="Q30" s="428">
        <f t="shared" si="6"/>
        <v>2544748</v>
      </c>
      <c r="S30" s="610"/>
      <c r="T30" s="604"/>
    </row>
    <row r="31" spans="1:20">
      <c r="A31" s="204">
        <f t="shared" si="7"/>
        <v>21</v>
      </c>
      <c r="B31" s="529" t="s">
        <v>628</v>
      </c>
      <c r="C31" s="8">
        <v>13770</v>
      </c>
      <c r="D31" s="8">
        <v>140</v>
      </c>
      <c r="E31" s="546">
        <v>0</v>
      </c>
      <c r="F31" s="15">
        <v>280</v>
      </c>
      <c r="G31" s="15">
        <f t="shared" si="0"/>
        <v>14190</v>
      </c>
      <c r="H31" s="428">
        <v>11814</v>
      </c>
      <c r="I31" s="8">
        <v>134</v>
      </c>
      <c r="J31" s="8">
        <v>0</v>
      </c>
      <c r="K31" s="8">
        <v>260</v>
      </c>
      <c r="L31" s="428">
        <f t="shared" si="1"/>
        <v>12208</v>
      </c>
      <c r="M31" s="428">
        <f t="shared" si="2"/>
        <v>1866612</v>
      </c>
      <c r="N31" s="428">
        <f t="shared" si="3"/>
        <v>21172</v>
      </c>
      <c r="O31" s="428">
        <f t="shared" si="4"/>
        <v>0</v>
      </c>
      <c r="P31" s="428">
        <f t="shared" si="5"/>
        <v>41080</v>
      </c>
      <c r="Q31" s="428">
        <f t="shared" si="6"/>
        <v>1928864</v>
      </c>
      <c r="T31" s="604"/>
    </row>
    <row r="32" spans="1:20">
      <c r="A32" s="204">
        <f t="shared" si="7"/>
        <v>22</v>
      </c>
      <c r="B32" s="204" t="s">
        <v>603</v>
      </c>
      <c r="C32" s="8">
        <v>29139</v>
      </c>
      <c r="D32" s="8">
        <v>2556</v>
      </c>
      <c r="E32" s="546">
        <v>308</v>
      </c>
      <c r="F32" s="15">
        <v>0</v>
      </c>
      <c r="G32" s="15">
        <f t="shared" si="0"/>
        <v>32003</v>
      </c>
      <c r="H32" s="428">
        <v>25561</v>
      </c>
      <c r="I32" s="8">
        <v>2352</v>
      </c>
      <c r="J32" s="8">
        <v>301</v>
      </c>
      <c r="K32" s="8">
        <v>0</v>
      </c>
      <c r="L32" s="428">
        <f t="shared" si="1"/>
        <v>28214</v>
      </c>
      <c r="M32" s="428">
        <f t="shared" si="2"/>
        <v>4038638</v>
      </c>
      <c r="N32" s="428">
        <f t="shared" si="3"/>
        <v>371616</v>
      </c>
      <c r="O32" s="428">
        <f t="shared" si="4"/>
        <v>64414</v>
      </c>
      <c r="P32" s="428">
        <f t="shared" si="5"/>
        <v>0</v>
      </c>
      <c r="Q32" s="428">
        <f t="shared" si="6"/>
        <v>4474668</v>
      </c>
      <c r="T32" s="604"/>
    </row>
    <row r="33" spans="1:20">
      <c r="A33" s="204">
        <f t="shared" si="7"/>
        <v>23</v>
      </c>
      <c r="B33" s="204" t="s">
        <v>604</v>
      </c>
      <c r="C33" s="8">
        <v>10779</v>
      </c>
      <c r="D33" s="8">
        <v>361</v>
      </c>
      <c r="E33" s="546">
        <v>0</v>
      </c>
      <c r="F33" s="15">
        <v>0</v>
      </c>
      <c r="G33" s="15">
        <f t="shared" si="0"/>
        <v>11140</v>
      </c>
      <c r="H33" s="428">
        <v>9446</v>
      </c>
      <c r="I33" s="8">
        <v>315</v>
      </c>
      <c r="J33" s="8">
        <v>0</v>
      </c>
      <c r="K33" s="8">
        <v>0</v>
      </c>
      <c r="L33" s="428">
        <f t="shared" si="1"/>
        <v>9761</v>
      </c>
      <c r="M33" s="428">
        <f t="shared" si="2"/>
        <v>1492468</v>
      </c>
      <c r="N33" s="428">
        <f t="shared" si="3"/>
        <v>49770</v>
      </c>
      <c r="O33" s="428">
        <f t="shared" si="4"/>
        <v>0</v>
      </c>
      <c r="P33" s="428">
        <f t="shared" si="5"/>
        <v>0</v>
      </c>
      <c r="Q33" s="428">
        <f t="shared" si="6"/>
        <v>1542238</v>
      </c>
      <c r="T33" s="604"/>
    </row>
    <row r="34" spans="1:20">
      <c r="A34" s="204">
        <f t="shared" si="7"/>
        <v>24</v>
      </c>
      <c r="B34" s="204" t="s">
        <v>605</v>
      </c>
      <c r="C34" s="8">
        <v>10332</v>
      </c>
      <c r="D34" s="8">
        <v>141</v>
      </c>
      <c r="E34" s="546">
        <v>0</v>
      </c>
      <c r="F34" s="15">
        <v>0</v>
      </c>
      <c r="G34" s="15">
        <f t="shared" si="0"/>
        <v>10473</v>
      </c>
      <c r="H34" s="428">
        <v>8844</v>
      </c>
      <c r="I34" s="8">
        <v>128</v>
      </c>
      <c r="J34" s="8">
        <v>0</v>
      </c>
      <c r="K34" s="8">
        <v>0</v>
      </c>
      <c r="L34" s="428">
        <f t="shared" si="1"/>
        <v>8972</v>
      </c>
      <c r="M34" s="428">
        <f t="shared" si="2"/>
        <v>1397352</v>
      </c>
      <c r="N34" s="428">
        <f t="shared" si="3"/>
        <v>20224</v>
      </c>
      <c r="O34" s="428">
        <f t="shared" si="4"/>
        <v>0</v>
      </c>
      <c r="P34" s="428">
        <f t="shared" si="5"/>
        <v>0</v>
      </c>
      <c r="Q34" s="428">
        <f t="shared" si="6"/>
        <v>1417576</v>
      </c>
      <c r="T34" s="604"/>
    </row>
    <row r="35" spans="1:20">
      <c r="A35" s="204">
        <f t="shared" si="7"/>
        <v>25</v>
      </c>
      <c r="B35" s="204" t="s">
        <v>606</v>
      </c>
      <c r="C35" s="8">
        <v>45901</v>
      </c>
      <c r="D35" s="8">
        <v>652</v>
      </c>
      <c r="E35" s="546">
        <v>0</v>
      </c>
      <c r="F35" s="15">
        <v>315</v>
      </c>
      <c r="G35" s="15">
        <f t="shared" si="0"/>
        <v>46868</v>
      </c>
      <c r="H35" s="428">
        <v>38780</v>
      </c>
      <c r="I35" s="8">
        <v>603</v>
      </c>
      <c r="J35" s="8">
        <v>0</v>
      </c>
      <c r="K35" s="8">
        <v>300</v>
      </c>
      <c r="L35" s="428">
        <f t="shared" si="1"/>
        <v>39683</v>
      </c>
      <c r="M35" s="428">
        <f t="shared" si="2"/>
        <v>6127240</v>
      </c>
      <c r="N35" s="428">
        <f t="shared" si="3"/>
        <v>95274</v>
      </c>
      <c r="O35" s="428">
        <f t="shared" si="4"/>
        <v>0</v>
      </c>
      <c r="P35" s="428">
        <f t="shared" si="5"/>
        <v>47400</v>
      </c>
      <c r="Q35" s="428">
        <f t="shared" si="6"/>
        <v>6269914</v>
      </c>
      <c r="T35" s="604"/>
    </row>
    <row r="36" spans="1:20">
      <c r="A36" s="204">
        <f t="shared" si="7"/>
        <v>26</v>
      </c>
      <c r="B36" s="204" t="s">
        <v>607</v>
      </c>
      <c r="C36" s="8">
        <v>34683</v>
      </c>
      <c r="D36" s="8">
        <v>345</v>
      </c>
      <c r="E36" s="546">
        <v>0</v>
      </c>
      <c r="F36" s="15">
        <v>0</v>
      </c>
      <c r="G36" s="15">
        <f t="shared" si="0"/>
        <v>35028</v>
      </c>
      <c r="H36" s="428">
        <v>30669</v>
      </c>
      <c r="I36" s="8">
        <v>303</v>
      </c>
      <c r="J36" s="8">
        <v>0</v>
      </c>
      <c r="K36" s="8">
        <v>0</v>
      </c>
      <c r="L36" s="428">
        <f t="shared" si="1"/>
        <v>30972</v>
      </c>
      <c r="M36" s="428">
        <f t="shared" si="2"/>
        <v>4845702</v>
      </c>
      <c r="N36" s="428">
        <f t="shared" si="3"/>
        <v>47874</v>
      </c>
      <c r="O36" s="428">
        <f t="shared" si="4"/>
        <v>0</v>
      </c>
      <c r="P36" s="428">
        <f t="shared" si="5"/>
        <v>0</v>
      </c>
      <c r="Q36" s="428">
        <f t="shared" si="6"/>
        <v>4893576</v>
      </c>
      <c r="T36" s="604"/>
    </row>
    <row r="37" spans="1:20">
      <c r="A37" s="204">
        <f t="shared" si="7"/>
        <v>27</v>
      </c>
      <c r="B37" s="204" t="s">
        <v>608</v>
      </c>
      <c r="C37" s="8">
        <v>26182</v>
      </c>
      <c r="D37" s="8">
        <v>52</v>
      </c>
      <c r="E37" s="546">
        <v>0</v>
      </c>
      <c r="F37" s="15">
        <v>67</v>
      </c>
      <c r="G37" s="15">
        <f t="shared" si="0"/>
        <v>26301</v>
      </c>
      <c r="H37" s="428">
        <v>23546</v>
      </c>
      <c r="I37" s="8">
        <v>46</v>
      </c>
      <c r="J37" s="8">
        <v>0</v>
      </c>
      <c r="K37" s="8">
        <v>67</v>
      </c>
      <c r="L37" s="428">
        <f t="shared" si="1"/>
        <v>23659</v>
      </c>
      <c r="M37" s="428">
        <f t="shared" si="2"/>
        <v>3720268</v>
      </c>
      <c r="N37" s="428">
        <f t="shared" si="3"/>
        <v>7268</v>
      </c>
      <c r="O37" s="428">
        <f t="shared" si="4"/>
        <v>0</v>
      </c>
      <c r="P37" s="428">
        <f t="shared" si="5"/>
        <v>10586</v>
      </c>
      <c r="Q37" s="428">
        <f t="shared" si="6"/>
        <v>3738122</v>
      </c>
      <c r="T37" s="604"/>
    </row>
    <row r="38" spans="1:20">
      <c r="A38" s="204">
        <f t="shared" si="7"/>
        <v>28</v>
      </c>
      <c r="B38" s="204" t="s">
        <v>609</v>
      </c>
      <c r="C38" s="8">
        <v>17367</v>
      </c>
      <c r="D38" s="8">
        <v>723</v>
      </c>
      <c r="E38" s="546">
        <v>0</v>
      </c>
      <c r="F38" s="15">
        <v>87</v>
      </c>
      <c r="G38" s="15">
        <f t="shared" si="0"/>
        <v>18177</v>
      </c>
      <c r="H38" s="428">
        <v>14394</v>
      </c>
      <c r="I38" s="8">
        <v>702</v>
      </c>
      <c r="J38" s="8">
        <v>0</v>
      </c>
      <c r="K38" s="8">
        <v>80</v>
      </c>
      <c r="L38" s="428">
        <f t="shared" si="1"/>
        <v>15176</v>
      </c>
      <c r="M38" s="428">
        <f t="shared" si="2"/>
        <v>2274252</v>
      </c>
      <c r="N38" s="428">
        <f t="shared" si="3"/>
        <v>110916</v>
      </c>
      <c r="O38" s="428">
        <f t="shared" si="4"/>
        <v>0</v>
      </c>
      <c r="P38" s="428">
        <f t="shared" si="5"/>
        <v>12640</v>
      </c>
      <c r="Q38" s="428">
        <f t="shared" si="6"/>
        <v>2397808</v>
      </c>
      <c r="T38" s="604"/>
    </row>
    <row r="39" spans="1:20">
      <c r="A39" s="204">
        <f t="shared" si="7"/>
        <v>29</v>
      </c>
      <c r="B39" s="204" t="s">
        <v>610</v>
      </c>
      <c r="C39" s="8">
        <v>27090</v>
      </c>
      <c r="D39" s="8">
        <v>1071</v>
      </c>
      <c r="E39" s="546">
        <v>0</v>
      </c>
      <c r="F39" s="15">
        <v>32</v>
      </c>
      <c r="G39" s="15">
        <f t="shared" si="0"/>
        <v>28193</v>
      </c>
      <c r="H39" s="428">
        <v>22919</v>
      </c>
      <c r="I39" s="8">
        <v>976</v>
      </c>
      <c r="J39" s="8">
        <v>0</v>
      </c>
      <c r="K39" s="8">
        <v>30</v>
      </c>
      <c r="L39" s="428">
        <f t="shared" si="1"/>
        <v>23925</v>
      </c>
      <c r="M39" s="428">
        <f t="shared" si="2"/>
        <v>3621202</v>
      </c>
      <c r="N39" s="428">
        <f t="shared" si="3"/>
        <v>154208</v>
      </c>
      <c r="O39" s="428">
        <f t="shared" si="4"/>
        <v>0</v>
      </c>
      <c r="P39" s="428">
        <f t="shared" si="5"/>
        <v>4740</v>
      </c>
      <c r="Q39" s="428">
        <f t="shared" si="6"/>
        <v>3780150</v>
      </c>
      <c r="T39" s="604"/>
    </row>
    <row r="40" spans="1:20">
      <c r="A40" s="204">
        <f t="shared" si="7"/>
        <v>30</v>
      </c>
      <c r="B40" s="502" t="s">
        <v>611</v>
      </c>
      <c r="C40" s="8">
        <v>13459</v>
      </c>
      <c r="D40" s="8">
        <v>13</v>
      </c>
      <c r="E40" s="546">
        <v>0</v>
      </c>
      <c r="F40" s="15">
        <v>0</v>
      </c>
      <c r="G40" s="15">
        <f t="shared" si="0"/>
        <v>13472</v>
      </c>
      <c r="H40" s="428">
        <v>11905</v>
      </c>
      <c r="I40" s="8">
        <v>12</v>
      </c>
      <c r="J40" s="8">
        <v>0</v>
      </c>
      <c r="K40" s="8">
        <v>0</v>
      </c>
      <c r="L40" s="428">
        <f t="shared" si="1"/>
        <v>11917</v>
      </c>
      <c r="M40" s="428">
        <f t="shared" si="2"/>
        <v>1880990</v>
      </c>
      <c r="N40" s="428">
        <f t="shared" si="3"/>
        <v>1896</v>
      </c>
      <c r="O40" s="428">
        <f t="shared" si="4"/>
        <v>0</v>
      </c>
      <c r="P40" s="428">
        <f t="shared" si="5"/>
        <v>0</v>
      </c>
      <c r="Q40" s="428">
        <f t="shared" si="6"/>
        <v>1882886</v>
      </c>
      <c r="T40" s="604"/>
    </row>
    <row r="41" spans="1:20">
      <c r="A41" s="204">
        <f t="shared" si="7"/>
        <v>31</v>
      </c>
      <c r="B41" s="502" t="s">
        <v>612</v>
      </c>
      <c r="C41" s="8">
        <v>10170</v>
      </c>
      <c r="D41" s="8">
        <v>24</v>
      </c>
      <c r="E41" s="546">
        <v>0</v>
      </c>
      <c r="F41" s="15">
        <v>0</v>
      </c>
      <c r="G41" s="15">
        <f t="shared" si="0"/>
        <v>10194</v>
      </c>
      <c r="H41" s="428">
        <v>9112</v>
      </c>
      <c r="I41" s="8">
        <v>20</v>
      </c>
      <c r="J41" s="8">
        <v>0</v>
      </c>
      <c r="K41" s="8">
        <v>0</v>
      </c>
      <c r="L41" s="428">
        <f t="shared" si="1"/>
        <v>9132</v>
      </c>
      <c r="M41" s="428">
        <f t="shared" si="2"/>
        <v>1439696</v>
      </c>
      <c r="N41" s="428">
        <f t="shared" si="3"/>
        <v>3160</v>
      </c>
      <c r="O41" s="428">
        <f t="shared" si="4"/>
        <v>0</v>
      </c>
      <c r="P41" s="428">
        <f t="shared" si="5"/>
        <v>0</v>
      </c>
      <c r="Q41" s="428">
        <f t="shared" si="6"/>
        <v>1442856</v>
      </c>
      <c r="T41" s="604"/>
    </row>
    <row r="42" spans="1:20">
      <c r="A42" s="204">
        <f t="shared" si="7"/>
        <v>32</v>
      </c>
      <c r="B42" s="502" t="s">
        <v>613</v>
      </c>
      <c r="C42" s="8">
        <v>12566</v>
      </c>
      <c r="D42" s="8">
        <v>1118</v>
      </c>
      <c r="E42" s="546">
        <v>0</v>
      </c>
      <c r="F42" s="15">
        <v>110</v>
      </c>
      <c r="G42" s="15">
        <f t="shared" si="0"/>
        <v>13794</v>
      </c>
      <c r="H42" s="428">
        <v>10885</v>
      </c>
      <c r="I42" s="8">
        <v>998</v>
      </c>
      <c r="J42" s="8">
        <v>0</v>
      </c>
      <c r="K42" s="8">
        <v>103</v>
      </c>
      <c r="L42" s="428">
        <f t="shared" si="1"/>
        <v>11986</v>
      </c>
      <c r="M42" s="428">
        <f t="shared" si="2"/>
        <v>1719830</v>
      </c>
      <c r="N42" s="428">
        <f t="shared" si="3"/>
        <v>157684</v>
      </c>
      <c r="O42" s="428">
        <f t="shared" si="4"/>
        <v>0</v>
      </c>
      <c r="P42" s="428">
        <f t="shared" si="5"/>
        <v>16274</v>
      </c>
      <c r="Q42" s="428">
        <f t="shared" si="6"/>
        <v>1893788</v>
      </c>
      <c r="T42" s="604"/>
    </row>
    <row r="43" spans="1:20">
      <c r="A43" s="204">
        <f t="shared" si="7"/>
        <v>33</v>
      </c>
      <c r="B43" s="502" t="s">
        <v>614</v>
      </c>
      <c r="C43" s="8">
        <v>15002</v>
      </c>
      <c r="D43" s="8">
        <v>54</v>
      </c>
      <c r="E43" s="546">
        <v>0</v>
      </c>
      <c r="F43" s="15">
        <v>46</v>
      </c>
      <c r="G43" s="15">
        <f t="shared" si="0"/>
        <v>15102</v>
      </c>
      <c r="H43" s="428">
        <v>13132</v>
      </c>
      <c r="I43" s="8">
        <v>51</v>
      </c>
      <c r="J43" s="8">
        <v>0</v>
      </c>
      <c r="K43" s="8">
        <v>40</v>
      </c>
      <c r="L43" s="428">
        <f t="shared" si="1"/>
        <v>13223</v>
      </c>
      <c r="M43" s="428">
        <f t="shared" si="2"/>
        <v>2074856</v>
      </c>
      <c r="N43" s="428">
        <f t="shared" si="3"/>
        <v>8058</v>
      </c>
      <c r="O43" s="428">
        <f t="shared" si="4"/>
        <v>0</v>
      </c>
      <c r="P43" s="428">
        <f t="shared" si="5"/>
        <v>6320</v>
      </c>
      <c r="Q43" s="428">
        <f t="shared" si="6"/>
        <v>2089234</v>
      </c>
      <c r="T43" s="604"/>
    </row>
    <row r="44" spans="1:20" s="5" customFormat="1">
      <c r="A44" s="274"/>
      <c r="B44" s="274" t="s">
        <v>615</v>
      </c>
      <c r="C44" s="17">
        <f>SUM(C11:C43)</f>
        <v>628001</v>
      </c>
      <c r="D44" s="17">
        <f t="shared" ref="D44:P44" si="8">SUM(D11:D43)</f>
        <v>28533</v>
      </c>
      <c r="E44" s="17">
        <f t="shared" si="8"/>
        <v>1388</v>
      </c>
      <c r="F44" s="17">
        <f t="shared" si="8"/>
        <v>1864</v>
      </c>
      <c r="G44" s="17">
        <f t="shared" si="8"/>
        <v>659786</v>
      </c>
      <c r="H44" s="17">
        <f t="shared" si="8"/>
        <v>545489</v>
      </c>
      <c r="I44" s="17">
        <f t="shared" si="8"/>
        <v>24845</v>
      </c>
      <c r="J44" s="17">
        <f t="shared" si="8"/>
        <v>1270</v>
      </c>
      <c r="K44" s="17">
        <f t="shared" si="8"/>
        <v>1750</v>
      </c>
      <c r="L44" s="362">
        <f t="shared" si="8"/>
        <v>573354</v>
      </c>
      <c r="M44" s="362">
        <f t="shared" si="8"/>
        <v>86187262</v>
      </c>
      <c r="N44" s="362">
        <f t="shared" si="8"/>
        <v>3925510</v>
      </c>
      <c r="O44" s="362">
        <f t="shared" si="8"/>
        <v>271780</v>
      </c>
      <c r="P44" s="362">
        <f t="shared" si="8"/>
        <v>276500</v>
      </c>
      <c r="Q44" s="362">
        <f>SUM(Q11:Q43)</f>
        <v>90661052</v>
      </c>
      <c r="S44" s="542"/>
      <c r="T44" s="604"/>
    </row>
    <row r="45" spans="1:20">
      <c r="A45" s="34"/>
      <c r="B45" s="10"/>
      <c r="C45" s="10"/>
      <c r="D45" s="10"/>
      <c r="E45" s="10"/>
      <c r="F45" s="375"/>
      <c r="G45" s="599"/>
      <c r="H45" s="375"/>
      <c r="I45" s="375"/>
      <c r="J45" s="375"/>
      <c r="K45" s="429"/>
      <c r="L45" s="441"/>
      <c r="M45" s="375"/>
      <c r="N45" s="375"/>
      <c r="O45" s="620"/>
      <c r="P45" s="375"/>
      <c r="Q45" s="375"/>
    </row>
    <row r="46" spans="1:20">
      <c r="A46" s="9" t="s">
        <v>8</v>
      </c>
      <c r="K46" s="576"/>
    </row>
    <row r="47" spans="1:20">
      <c r="A47" s="173" t="s">
        <v>9</v>
      </c>
    </row>
    <row r="48" spans="1:20">
      <c r="A48" s="173" t="s">
        <v>10</v>
      </c>
      <c r="I48" s="3"/>
      <c r="J48" s="3"/>
      <c r="K48" s="3"/>
      <c r="L48" s="3"/>
    </row>
    <row r="49" spans="1:17">
      <c r="A49" s="173" t="s">
        <v>419</v>
      </c>
      <c r="J49" s="3"/>
      <c r="K49" s="3"/>
      <c r="L49" s="3"/>
    </row>
    <row r="50" spans="1:17">
      <c r="C50" s="173" t="s">
        <v>421</v>
      </c>
      <c r="E50" s="10"/>
      <c r="F50" s="10"/>
      <c r="G50" s="10"/>
      <c r="H50" s="10"/>
      <c r="I50" s="10"/>
      <c r="J50" s="10"/>
      <c r="K50" s="10"/>
      <c r="L50" s="10"/>
      <c r="M50" s="10"/>
    </row>
    <row r="52" spans="1:17">
      <c r="A52" s="797"/>
      <c r="B52" s="797"/>
      <c r="C52" s="797"/>
      <c r="D52" s="797"/>
      <c r="E52" s="797"/>
      <c r="F52" s="797"/>
      <c r="G52" s="797"/>
      <c r="H52" s="797"/>
      <c r="I52" s="797"/>
      <c r="J52" s="797"/>
      <c r="K52" s="797"/>
      <c r="L52" s="797"/>
    </row>
    <row r="54" spans="1:17" ht="15.75">
      <c r="L54" s="761" t="s">
        <v>908</v>
      </c>
      <c r="M54" s="761"/>
      <c r="N54" s="761"/>
      <c r="O54" s="761"/>
      <c r="P54" s="761"/>
      <c r="Q54" s="761"/>
    </row>
    <row r="55" spans="1:17" ht="15.75">
      <c r="L55" s="761" t="s">
        <v>646</v>
      </c>
      <c r="M55" s="761"/>
      <c r="N55" s="761"/>
      <c r="O55" s="761"/>
      <c r="P55" s="761"/>
      <c r="Q55" s="761"/>
    </row>
  </sheetData>
  <mergeCells count="13">
    <mergeCell ref="L54:Q54"/>
    <mergeCell ref="L55:Q55"/>
    <mergeCell ref="A52:L52"/>
    <mergeCell ref="O1:Q1"/>
    <mergeCell ref="M8:Q8"/>
    <mergeCell ref="A8:A9"/>
    <mergeCell ref="B8:B9"/>
    <mergeCell ref="C8:G8"/>
    <mergeCell ref="H8:L8"/>
    <mergeCell ref="A2:Q2"/>
    <mergeCell ref="A3:Q3"/>
    <mergeCell ref="A5:Q5"/>
    <mergeCell ref="N7:Q7"/>
  </mergeCells>
  <phoneticPr fontId="0" type="noConversion"/>
  <printOptions horizontalCentered="1"/>
  <pageMargins left="0.38" right="0.44" top="0.42" bottom="0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Normal="70" zoomScaleSheetLayoutView="100" workbookViewId="0">
      <selection activeCell="C10" sqref="C10"/>
    </sheetView>
  </sheetViews>
  <sheetFormatPr defaultRowHeight="12.75"/>
  <cols>
    <col min="1" max="1" width="6" style="173" customWidth="1"/>
    <col min="2" max="2" width="19.140625" style="173" customWidth="1"/>
    <col min="3" max="3" width="17.28515625" style="173" customWidth="1"/>
    <col min="4" max="4" width="19" style="173" customWidth="1"/>
    <col min="5" max="5" width="19.7109375" style="173" customWidth="1"/>
    <col min="6" max="6" width="18.85546875" style="173" customWidth="1"/>
    <col min="7" max="7" width="15.28515625" style="173" customWidth="1"/>
    <col min="8" max="16384" width="9.140625" style="173"/>
  </cols>
  <sheetData>
    <row r="1" spans="1:9" ht="15.75">
      <c r="A1" s="702" t="s">
        <v>649</v>
      </c>
      <c r="B1" s="702"/>
      <c r="C1" s="702"/>
      <c r="D1" s="702"/>
      <c r="E1" s="702"/>
      <c r="F1" s="702"/>
      <c r="G1" s="202" t="s">
        <v>550</v>
      </c>
    </row>
    <row r="2" spans="1:9" ht="20.25">
      <c r="A2" s="703" t="s">
        <v>737</v>
      </c>
      <c r="B2" s="703"/>
      <c r="C2" s="703"/>
      <c r="D2" s="703"/>
      <c r="E2" s="703"/>
      <c r="F2" s="703"/>
      <c r="G2" s="703"/>
    </row>
    <row r="3" spans="1:9" ht="7.5" customHeight="1"/>
    <row r="4" spans="1:9" ht="18" customHeight="1">
      <c r="A4" s="792" t="s">
        <v>551</v>
      </c>
      <c r="B4" s="792"/>
      <c r="C4" s="792"/>
      <c r="D4" s="792"/>
      <c r="E4" s="792"/>
      <c r="F4" s="792"/>
      <c r="G4" s="792"/>
    </row>
    <row r="5" spans="1:9" s="5" customFormat="1">
      <c r="A5" s="21" t="s">
        <v>658</v>
      </c>
      <c r="B5" s="21"/>
    </row>
    <row r="6" spans="1:9">
      <c r="A6" s="76"/>
      <c r="B6" s="76"/>
      <c r="F6" s="799" t="s">
        <v>774</v>
      </c>
      <c r="G6" s="799"/>
      <c r="H6" s="799"/>
    </row>
    <row r="7" spans="1:9" ht="42" customHeight="1">
      <c r="A7" s="122" t="s">
        <v>2</v>
      </c>
      <c r="B7" s="122" t="s">
        <v>3</v>
      </c>
      <c r="C7" s="189" t="s">
        <v>552</v>
      </c>
      <c r="D7" s="189" t="s">
        <v>553</v>
      </c>
      <c r="E7" s="189" t="s">
        <v>554</v>
      </c>
      <c r="F7" s="189" t="s">
        <v>555</v>
      </c>
      <c r="G7" s="183" t="s">
        <v>556</v>
      </c>
    </row>
    <row r="8" spans="1:9" s="202" customFormat="1" ht="14.25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264</v>
      </c>
    </row>
    <row r="9" spans="1:9">
      <c r="A9" s="204">
        <v>1</v>
      </c>
      <c r="B9" s="204" t="s">
        <v>624</v>
      </c>
      <c r="C9" s="129">
        <v>55705</v>
      </c>
      <c r="D9" s="371">
        <v>52488</v>
      </c>
      <c r="E9" s="372" t="s">
        <v>7</v>
      </c>
      <c r="F9" s="373">
        <f>C9-D9</f>
        <v>3217</v>
      </c>
      <c r="G9" s="365" t="s">
        <v>7</v>
      </c>
    </row>
    <row r="10" spans="1:9">
      <c r="A10" s="204">
        <f>A9+1</f>
        <v>2</v>
      </c>
      <c r="B10" s="204" t="s">
        <v>589</v>
      </c>
      <c r="C10" s="129">
        <v>58581</v>
      </c>
      <c r="D10" s="371">
        <v>56460</v>
      </c>
      <c r="E10" s="372" t="s">
        <v>7</v>
      </c>
      <c r="F10" s="373">
        <f t="shared" ref="F10:F41" si="0">C10-D10</f>
        <v>2121</v>
      </c>
      <c r="G10" s="365" t="s">
        <v>7</v>
      </c>
      <c r="H10" s="594"/>
      <c r="I10" s="496"/>
    </row>
    <row r="11" spans="1:9">
      <c r="A11" s="204">
        <f t="shared" ref="A11:A41" si="1">A10+1</f>
        <v>3</v>
      </c>
      <c r="B11" s="204" t="s">
        <v>625</v>
      </c>
      <c r="C11" s="129">
        <v>131222</v>
      </c>
      <c r="D11" s="371">
        <v>107557</v>
      </c>
      <c r="E11" s="372" t="s">
        <v>7</v>
      </c>
      <c r="F11" s="373">
        <f t="shared" si="0"/>
        <v>23665</v>
      </c>
      <c r="G11" s="365" t="s">
        <v>7</v>
      </c>
      <c r="H11" s="594"/>
      <c r="I11" s="496"/>
    </row>
    <row r="12" spans="1:9">
      <c r="A12" s="204">
        <f t="shared" si="1"/>
        <v>4</v>
      </c>
      <c r="B12" s="204" t="s">
        <v>590</v>
      </c>
      <c r="C12" s="255">
        <v>46002</v>
      </c>
      <c r="D12" s="255">
        <v>44507</v>
      </c>
      <c r="E12" s="372" t="s">
        <v>7</v>
      </c>
      <c r="F12" s="373">
        <f t="shared" si="0"/>
        <v>1495</v>
      </c>
      <c r="G12" s="365" t="s">
        <v>7</v>
      </c>
      <c r="H12" s="594"/>
      <c r="I12" s="496"/>
    </row>
    <row r="13" spans="1:9">
      <c r="A13" s="204">
        <f t="shared" si="1"/>
        <v>5</v>
      </c>
      <c r="B13" s="204" t="s">
        <v>591</v>
      </c>
      <c r="C13" s="255">
        <v>28538</v>
      </c>
      <c r="D13" s="255">
        <v>27514</v>
      </c>
      <c r="E13" s="372" t="s">
        <v>7</v>
      </c>
      <c r="F13" s="373">
        <f t="shared" si="0"/>
        <v>1024</v>
      </c>
      <c r="G13" s="365" t="s">
        <v>7</v>
      </c>
      <c r="H13" s="594"/>
      <c r="I13" s="496"/>
    </row>
    <row r="14" spans="1:9">
      <c r="A14" s="204">
        <f t="shared" si="1"/>
        <v>6</v>
      </c>
      <c r="B14" s="204" t="s">
        <v>592</v>
      </c>
      <c r="C14" s="129">
        <v>17936</v>
      </c>
      <c r="D14" s="371">
        <v>16233</v>
      </c>
      <c r="E14" s="372" t="s">
        <v>7</v>
      </c>
      <c r="F14" s="373">
        <f t="shared" si="0"/>
        <v>1703</v>
      </c>
      <c r="G14" s="365" t="s">
        <v>7</v>
      </c>
      <c r="H14" s="594"/>
      <c r="I14" s="496"/>
    </row>
    <row r="15" spans="1:9">
      <c r="A15" s="204">
        <f t="shared" si="1"/>
        <v>7</v>
      </c>
      <c r="B15" s="204" t="s">
        <v>593</v>
      </c>
      <c r="C15" s="129">
        <v>52931</v>
      </c>
      <c r="D15" s="371">
        <v>49871</v>
      </c>
      <c r="E15" s="372" t="s">
        <v>7</v>
      </c>
      <c r="F15" s="373">
        <f t="shared" si="0"/>
        <v>3060</v>
      </c>
      <c r="G15" s="365" t="s">
        <v>7</v>
      </c>
      <c r="H15" s="594"/>
      <c r="I15" s="496"/>
    </row>
    <row r="16" spans="1:9">
      <c r="A16" s="204">
        <f t="shared" si="1"/>
        <v>8</v>
      </c>
      <c r="B16" s="204" t="s">
        <v>594</v>
      </c>
      <c r="C16" s="129">
        <v>68386</v>
      </c>
      <c r="D16" s="371">
        <v>65462</v>
      </c>
      <c r="E16" s="372" t="s">
        <v>7</v>
      </c>
      <c r="F16" s="373">
        <f t="shared" si="0"/>
        <v>2924</v>
      </c>
      <c r="G16" s="365" t="s">
        <v>7</v>
      </c>
      <c r="H16" s="594"/>
      <c r="I16" s="496"/>
    </row>
    <row r="17" spans="1:9">
      <c r="A17" s="204">
        <f t="shared" si="1"/>
        <v>9</v>
      </c>
      <c r="B17" s="204" t="s">
        <v>595</v>
      </c>
      <c r="C17" s="129">
        <v>33534</v>
      </c>
      <c r="D17" s="371">
        <v>31929</v>
      </c>
      <c r="E17" s="372" t="s">
        <v>7</v>
      </c>
      <c r="F17" s="373">
        <f t="shared" si="0"/>
        <v>1605</v>
      </c>
      <c r="G17" s="365" t="s">
        <v>7</v>
      </c>
      <c r="H17" s="594"/>
      <c r="I17" s="496"/>
    </row>
    <row r="18" spans="1:9">
      <c r="A18" s="204">
        <f t="shared" si="1"/>
        <v>10</v>
      </c>
      <c r="B18" s="204" t="s">
        <v>596</v>
      </c>
      <c r="C18" s="129">
        <v>70245</v>
      </c>
      <c r="D18" s="371">
        <v>67387</v>
      </c>
      <c r="E18" s="372" t="s">
        <v>7</v>
      </c>
      <c r="F18" s="373">
        <f t="shared" si="0"/>
        <v>2858</v>
      </c>
      <c r="G18" s="365" t="s">
        <v>7</v>
      </c>
      <c r="H18" s="594"/>
      <c r="I18" s="496"/>
    </row>
    <row r="19" spans="1:9">
      <c r="A19" s="204">
        <f t="shared" si="1"/>
        <v>11</v>
      </c>
      <c r="B19" s="204" t="s">
        <v>626</v>
      </c>
      <c r="C19" s="255">
        <v>39432</v>
      </c>
      <c r="D19" s="255">
        <v>36477</v>
      </c>
      <c r="E19" s="372" t="s">
        <v>7</v>
      </c>
      <c r="F19" s="373">
        <f t="shared" si="0"/>
        <v>2955</v>
      </c>
      <c r="G19" s="365" t="s">
        <v>7</v>
      </c>
      <c r="H19" s="594"/>
      <c r="I19" s="496"/>
    </row>
    <row r="20" spans="1:9">
      <c r="A20" s="204">
        <f t="shared" si="1"/>
        <v>12</v>
      </c>
      <c r="B20" s="204" t="s">
        <v>597</v>
      </c>
      <c r="C20" s="129">
        <v>40339</v>
      </c>
      <c r="D20" s="371">
        <v>38600</v>
      </c>
      <c r="E20" s="372" t="s">
        <v>7</v>
      </c>
      <c r="F20" s="373">
        <f t="shared" si="0"/>
        <v>1739</v>
      </c>
      <c r="G20" s="365" t="s">
        <v>7</v>
      </c>
      <c r="H20" s="594"/>
      <c r="I20" s="496"/>
    </row>
    <row r="21" spans="1:9">
      <c r="A21" s="204">
        <f t="shared" si="1"/>
        <v>13</v>
      </c>
      <c r="B21" s="204" t="s">
        <v>598</v>
      </c>
      <c r="C21" s="129">
        <v>63621</v>
      </c>
      <c r="D21" s="371">
        <v>58998</v>
      </c>
      <c r="E21" s="372" t="s">
        <v>7</v>
      </c>
      <c r="F21" s="373">
        <f t="shared" si="0"/>
        <v>4623</v>
      </c>
      <c r="G21" s="365" t="s">
        <v>7</v>
      </c>
      <c r="H21" s="594"/>
      <c r="I21" s="496"/>
    </row>
    <row r="22" spans="1:9">
      <c r="A22" s="204">
        <f t="shared" si="1"/>
        <v>14</v>
      </c>
      <c r="B22" s="204" t="s">
        <v>627</v>
      </c>
      <c r="C22" s="129">
        <v>36773</v>
      </c>
      <c r="D22" s="371">
        <v>34900</v>
      </c>
      <c r="E22" s="372" t="s">
        <v>7</v>
      </c>
      <c r="F22" s="373">
        <f t="shared" si="0"/>
        <v>1873</v>
      </c>
      <c r="G22" s="365" t="s">
        <v>7</v>
      </c>
      <c r="H22" s="594"/>
      <c r="I22" s="496"/>
    </row>
    <row r="23" spans="1:9">
      <c r="A23" s="204">
        <f t="shared" si="1"/>
        <v>15</v>
      </c>
      <c r="B23" s="204" t="s">
        <v>599</v>
      </c>
      <c r="C23" s="129">
        <v>63538</v>
      </c>
      <c r="D23" s="371">
        <v>61115</v>
      </c>
      <c r="E23" s="372" t="s">
        <v>7</v>
      </c>
      <c r="F23" s="373">
        <f t="shared" si="0"/>
        <v>2423</v>
      </c>
      <c r="G23" s="365" t="s">
        <v>7</v>
      </c>
      <c r="H23" s="594"/>
      <c r="I23" s="496"/>
    </row>
    <row r="24" spans="1:9">
      <c r="A24" s="204">
        <f t="shared" si="1"/>
        <v>16</v>
      </c>
      <c r="B24" s="204" t="s">
        <v>600</v>
      </c>
      <c r="C24" s="129">
        <v>66103</v>
      </c>
      <c r="D24" s="371">
        <v>58158</v>
      </c>
      <c r="E24" s="372" t="s">
        <v>7</v>
      </c>
      <c r="F24" s="373">
        <f t="shared" si="0"/>
        <v>7945</v>
      </c>
      <c r="G24" s="365" t="s">
        <v>7</v>
      </c>
      <c r="H24" s="594"/>
      <c r="I24" s="496"/>
    </row>
    <row r="25" spans="1:9" s="527" customFormat="1">
      <c r="A25" s="204">
        <f t="shared" si="1"/>
        <v>17</v>
      </c>
      <c r="B25" s="529" t="s">
        <v>684</v>
      </c>
      <c r="C25" s="129">
        <v>15568</v>
      </c>
      <c r="D25" s="371">
        <v>14291</v>
      </c>
      <c r="E25" s="372"/>
      <c r="F25" s="373">
        <f t="shared" si="0"/>
        <v>1277</v>
      </c>
      <c r="G25" s="502"/>
      <c r="H25" s="594"/>
    </row>
    <row r="26" spans="1:9">
      <c r="A26" s="204">
        <f t="shared" si="1"/>
        <v>18</v>
      </c>
      <c r="B26" s="204" t="s">
        <v>601</v>
      </c>
      <c r="C26" s="129">
        <v>51797</v>
      </c>
      <c r="D26" s="371">
        <v>47928</v>
      </c>
      <c r="E26" s="372" t="s">
        <v>7</v>
      </c>
      <c r="F26" s="373">
        <f t="shared" si="0"/>
        <v>3869</v>
      </c>
      <c r="G26" s="365" t="s">
        <v>7</v>
      </c>
      <c r="H26" s="594"/>
      <c r="I26" s="496"/>
    </row>
    <row r="27" spans="1:9">
      <c r="A27" s="204">
        <f t="shared" si="1"/>
        <v>19</v>
      </c>
      <c r="B27" s="204" t="s">
        <v>602</v>
      </c>
      <c r="C27" s="129">
        <v>83658</v>
      </c>
      <c r="D27" s="371">
        <v>79506</v>
      </c>
      <c r="E27" s="372" t="s">
        <v>7</v>
      </c>
      <c r="F27" s="373">
        <f t="shared" si="0"/>
        <v>4152</v>
      </c>
      <c r="G27" s="365" t="s">
        <v>7</v>
      </c>
      <c r="H27" s="594"/>
      <c r="I27" s="496"/>
    </row>
    <row r="28" spans="1:9" s="527" customFormat="1">
      <c r="A28" s="204">
        <f t="shared" si="1"/>
        <v>20</v>
      </c>
      <c r="B28" s="529" t="s">
        <v>683</v>
      </c>
      <c r="C28" s="129">
        <v>51014</v>
      </c>
      <c r="D28" s="371">
        <v>48289</v>
      </c>
      <c r="E28" s="372"/>
      <c r="F28" s="373">
        <f t="shared" si="0"/>
        <v>2725</v>
      </c>
      <c r="G28" s="502"/>
      <c r="H28" s="594"/>
    </row>
    <row r="29" spans="1:9">
      <c r="A29" s="204">
        <f t="shared" si="1"/>
        <v>21</v>
      </c>
      <c r="B29" s="529" t="s">
        <v>628</v>
      </c>
      <c r="C29" s="129">
        <v>41509</v>
      </c>
      <c r="D29" s="371">
        <v>39119</v>
      </c>
      <c r="E29" s="372" t="s">
        <v>7</v>
      </c>
      <c r="F29" s="373">
        <f t="shared" si="0"/>
        <v>2390</v>
      </c>
      <c r="G29" s="365" t="s">
        <v>7</v>
      </c>
      <c r="H29" s="594"/>
      <c r="I29" s="496"/>
    </row>
    <row r="30" spans="1:9">
      <c r="A30" s="204">
        <f t="shared" si="1"/>
        <v>22</v>
      </c>
      <c r="B30" s="204" t="s">
        <v>603</v>
      </c>
      <c r="C30" s="129">
        <v>85477</v>
      </c>
      <c r="D30" s="371">
        <v>80410</v>
      </c>
      <c r="E30" s="372" t="s">
        <v>7</v>
      </c>
      <c r="F30" s="373">
        <f t="shared" si="0"/>
        <v>5067</v>
      </c>
      <c r="G30" s="365" t="s">
        <v>7</v>
      </c>
      <c r="H30" s="594"/>
      <c r="I30" s="496"/>
    </row>
    <row r="31" spans="1:9">
      <c r="A31" s="204">
        <f t="shared" si="1"/>
        <v>23</v>
      </c>
      <c r="B31" s="204" t="s">
        <v>604</v>
      </c>
      <c r="C31" s="129">
        <v>25990</v>
      </c>
      <c r="D31" s="371">
        <v>24948</v>
      </c>
      <c r="E31" s="372" t="s">
        <v>7</v>
      </c>
      <c r="F31" s="373">
        <f t="shared" si="0"/>
        <v>1042</v>
      </c>
      <c r="G31" s="365" t="s">
        <v>7</v>
      </c>
      <c r="H31" s="594"/>
      <c r="I31" s="496"/>
    </row>
    <row r="32" spans="1:9">
      <c r="A32" s="204">
        <f t="shared" si="1"/>
        <v>24</v>
      </c>
      <c r="B32" s="204" t="s">
        <v>605</v>
      </c>
      <c r="C32" s="129">
        <v>28050</v>
      </c>
      <c r="D32" s="371">
        <v>27452</v>
      </c>
      <c r="E32" s="372" t="s">
        <v>7</v>
      </c>
      <c r="F32" s="373">
        <f t="shared" si="0"/>
        <v>598</v>
      </c>
      <c r="G32" s="365" t="s">
        <v>7</v>
      </c>
      <c r="H32" s="594"/>
      <c r="I32" s="496"/>
    </row>
    <row r="33" spans="1:9">
      <c r="A33" s="204">
        <f t="shared" si="1"/>
        <v>25</v>
      </c>
      <c r="B33" s="204" t="s">
        <v>606</v>
      </c>
      <c r="C33" s="255">
        <v>121879</v>
      </c>
      <c r="D33" s="255">
        <v>105943</v>
      </c>
      <c r="E33" s="372" t="s">
        <v>7</v>
      </c>
      <c r="F33" s="373">
        <f t="shared" si="0"/>
        <v>15936</v>
      </c>
      <c r="G33" s="365" t="s">
        <v>7</v>
      </c>
      <c r="H33" s="594"/>
      <c r="I33" s="496"/>
    </row>
    <row r="34" spans="1:9">
      <c r="A34" s="204">
        <f t="shared" si="1"/>
        <v>26</v>
      </c>
      <c r="B34" s="204" t="s">
        <v>607</v>
      </c>
      <c r="C34" s="129">
        <v>93797</v>
      </c>
      <c r="D34" s="371">
        <v>87954</v>
      </c>
      <c r="E34" s="372" t="s">
        <v>7</v>
      </c>
      <c r="F34" s="373">
        <f t="shared" si="0"/>
        <v>5843</v>
      </c>
      <c r="G34" s="365" t="s">
        <v>7</v>
      </c>
      <c r="H34" s="594"/>
      <c r="I34" s="496"/>
    </row>
    <row r="35" spans="1:9">
      <c r="A35" s="204">
        <f t="shared" si="1"/>
        <v>27</v>
      </c>
      <c r="B35" s="204" t="s">
        <v>608</v>
      </c>
      <c r="C35" s="129">
        <v>64086</v>
      </c>
      <c r="D35" s="371">
        <v>60985</v>
      </c>
      <c r="E35" s="372" t="s">
        <v>7</v>
      </c>
      <c r="F35" s="373">
        <f t="shared" si="0"/>
        <v>3101</v>
      </c>
      <c r="G35" s="365" t="s">
        <v>7</v>
      </c>
      <c r="H35" s="594"/>
      <c r="I35" s="496"/>
    </row>
    <row r="36" spans="1:9">
      <c r="A36" s="204">
        <f t="shared" si="1"/>
        <v>28</v>
      </c>
      <c r="B36" s="204" t="s">
        <v>609</v>
      </c>
      <c r="C36" s="129">
        <v>49353</v>
      </c>
      <c r="D36" s="371">
        <v>47449</v>
      </c>
      <c r="E36" s="372" t="s">
        <v>7</v>
      </c>
      <c r="F36" s="373">
        <f t="shared" si="0"/>
        <v>1904</v>
      </c>
      <c r="G36" s="365" t="s">
        <v>7</v>
      </c>
      <c r="H36" s="594"/>
      <c r="I36" s="496"/>
    </row>
    <row r="37" spans="1:9">
      <c r="A37" s="204">
        <f t="shared" si="1"/>
        <v>29</v>
      </c>
      <c r="B37" s="204" t="s">
        <v>610</v>
      </c>
      <c r="C37" s="129">
        <v>74649</v>
      </c>
      <c r="D37" s="371">
        <v>66666</v>
      </c>
      <c r="E37" s="372" t="s">
        <v>7</v>
      </c>
      <c r="F37" s="373">
        <f t="shared" si="0"/>
        <v>7983</v>
      </c>
      <c r="G37" s="365" t="s">
        <v>7</v>
      </c>
      <c r="H37" s="594"/>
      <c r="I37" s="496"/>
    </row>
    <row r="38" spans="1:9">
      <c r="A38" s="204">
        <f t="shared" si="1"/>
        <v>30</v>
      </c>
      <c r="B38" s="502" t="s">
        <v>611</v>
      </c>
      <c r="C38" s="129">
        <v>37101</v>
      </c>
      <c r="D38" s="371">
        <v>35232</v>
      </c>
      <c r="E38" s="372" t="s">
        <v>7</v>
      </c>
      <c r="F38" s="373">
        <f t="shared" si="0"/>
        <v>1869</v>
      </c>
      <c r="G38" s="365" t="s">
        <v>7</v>
      </c>
      <c r="H38" s="594"/>
      <c r="I38" s="496"/>
    </row>
    <row r="39" spans="1:9">
      <c r="A39" s="204">
        <f t="shared" si="1"/>
        <v>31</v>
      </c>
      <c r="B39" s="502" t="s">
        <v>612</v>
      </c>
      <c r="C39" s="255">
        <v>28192</v>
      </c>
      <c r="D39" s="255">
        <v>27654</v>
      </c>
      <c r="E39" s="372" t="s">
        <v>7</v>
      </c>
      <c r="F39" s="373">
        <f t="shared" si="0"/>
        <v>538</v>
      </c>
      <c r="G39" s="365" t="s">
        <v>7</v>
      </c>
      <c r="H39" s="594"/>
      <c r="I39" s="496"/>
    </row>
    <row r="40" spans="1:9">
      <c r="A40" s="204">
        <f t="shared" si="1"/>
        <v>32</v>
      </c>
      <c r="B40" s="502" t="s">
        <v>613</v>
      </c>
      <c r="C40" s="255">
        <v>36279</v>
      </c>
      <c r="D40" s="255">
        <v>34515</v>
      </c>
      <c r="E40" s="372" t="s">
        <v>7</v>
      </c>
      <c r="F40" s="373">
        <f t="shared" si="0"/>
        <v>1764</v>
      </c>
      <c r="G40" s="365" t="s">
        <v>7</v>
      </c>
      <c r="H40" s="594"/>
      <c r="I40" s="496"/>
    </row>
    <row r="41" spans="1:9">
      <c r="A41" s="204">
        <f t="shared" si="1"/>
        <v>33</v>
      </c>
      <c r="B41" s="502" t="s">
        <v>614</v>
      </c>
      <c r="C41" s="129">
        <v>34671</v>
      </c>
      <c r="D41" s="371">
        <v>33122</v>
      </c>
      <c r="E41" s="372" t="s">
        <v>7</v>
      </c>
      <c r="F41" s="373">
        <f t="shared" si="0"/>
        <v>1549</v>
      </c>
      <c r="G41" s="365" t="s">
        <v>7</v>
      </c>
      <c r="H41" s="594"/>
      <c r="I41" s="496"/>
    </row>
    <row r="42" spans="1:9" ht="15" customHeight="1">
      <c r="A42" s="151"/>
      <c r="B42" s="151" t="s">
        <v>615</v>
      </c>
      <c r="C42" s="201">
        <f>SUM(C9:C41)</f>
        <v>1795956</v>
      </c>
      <c r="D42" s="201">
        <f>SUM(D9:D41)</f>
        <v>1669119</v>
      </c>
      <c r="E42" s="372" t="s">
        <v>7</v>
      </c>
      <c r="F42" s="201">
        <f>SUM(F9:F41)</f>
        <v>126837</v>
      </c>
      <c r="G42" s="410" t="s">
        <v>7</v>
      </c>
      <c r="H42" s="172"/>
      <c r="I42" s="172"/>
    </row>
    <row r="43" spans="1:9" ht="15" customHeight="1">
      <c r="A43" s="136"/>
      <c r="B43" s="136"/>
      <c r="C43" s="136"/>
      <c r="D43" s="10"/>
      <c r="E43" s="411"/>
      <c r="F43" s="376"/>
      <c r="G43" s="412"/>
      <c r="H43" s="172"/>
      <c r="I43" s="172"/>
    </row>
    <row r="47" spans="1:9" ht="15.75">
      <c r="E47" s="761" t="s">
        <v>908</v>
      </c>
      <c r="F47" s="761"/>
      <c r="G47" s="761"/>
    </row>
    <row r="48" spans="1:9" ht="15.75">
      <c r="E48" s="761" t="s">
        <v>646</v>
      </c>
      <c r="F48" s="761"/>
      <c r="G48" s="761"/>
    </row>
  </sheetData>
  <mergeCells count="6">
    <mergeCell ref="E47:G47"/>
    <mergeCell ref="E48:G48"/>
    <mergeCell ref="A2:G2"/>
    <mergeCell ref="A4:G4"/>
    <mergeCell ref="A1:F1"/>
    <mergeCell ref="F6:H6"/>
  </mergeCells>
  <printOptions horizontalCentered="1"/>
  <pageMargins left="0.70866141732283472" right="0.70866141732283472" top="0.45" bottom="0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topLeftCell="A14" zoomScale="90" zoomScaleNormal="70" zoomScaleSheetLayoutView="90" workbookViewId="0">
      <selection activeCell="M29" sqref="M29"/>
    </sheetView>
  </sheetViews>
  <sheetFormatPr defaultColWidth="9.140625" defaultRowHeight="12.75"/>
  <cols>
    <col min="1" max="1" width="7.42578125" style="173" customWidth="1"/>
    <col min="2" max="2" width="19.28515625" style="173" bestFit="1" customWidth="1"/>
    <col min="3" max="3" width="11" style="173" customWidth="1"/>
    <col min="4" max="4" width="10" style="173" customWidth="1"/>
    <col min="5" max="5" width="13.140625" style="173" customWidth="1"/>
    <col min="6" max="6" width="15.140625" style="173" customWidth="1"/>
    <col min="7" max="7" width="13.28515625" style="173" customWidth="1"/>
    <col min="8" max="8" width="14.7109375" style="173" customWidth="1"/>
    <col min="9" max="9" width="16.7109375" style="173" customWidth="1"/>
    <col min="10" max="10" width="19.28515625" style="173" customWidth="1"/>
    <col min="11" max="16384" width="9.140625" style="173"/>
  </cols>
  <sheetData>
    <row r="1" spans="1:18">
      <c r="E1" s="700"/>
      <c r="F1" s="700"/>
      <c r="G1" s="700"/>
      <c r="H1" s="700"/>
      <c r="I1" s="700"/>
      <c r="J1" s="176" t="s">
        <v>58</v>
      </c>
    </row>
    <row r="2" spans="1:18" ht="18">
      <c r="A2" s="807" t="s">
        <v>680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1:18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8" ht="14.25" customHeight="1"/>
    <row r="5" spans="1:18" ht="31.5" customHeight="1">
      <c r="A5" s="808" t="s">
        <v>760</v>
      </c>
      <c r="B5" s="808"/>
      <c r="C5" s="808"/>
      <c r="D5" s="808"/>
      <c r="E5" s="808"/>
      <c r="F5" s="808"/>
      <c r="G5" s="808"/>
      <c r="H5" s="808"/>
      <c r="I5" s="808"/>
      <c r="J5" s="808"/>
    </row>
    <row r="6" spans="1:18" ht="13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8" s="5" customFormat="1">
      <c r="A7" s="21" t="s">
        <v>658</v>
      </c>
      <c r="B7" s="21"/>
    </row>
    <row r="8" spans="1:18">
      <c r="A8" s="699"/>
      <c r="B8" s="699"/>
      <c r="C8" s="141"/>
      <c r="H8" s="793" t="s">
        <v>774</v>
      </c>
      <c r="I8" s="793"/>
      <c r="J8" s="793"/>
      <c r="K8" s="55"/>
      <c r="L8" s="55"/>
    </row>
    <row r="9" spans="1:18">
      <c r="A9" s="668" t="s">
        <v>2</v>
      </c>
      <c r="B9" s="668" t="s">
        <v>3</v>
      </c>
      <c r="C9" s="681" t="s">
        <v>755</v>
      </c>
      <c r="D9" s="743"/>
      <c r="E9" s="743"/>
      <c r="F9" s="682"/>
      <c r="G9" s="681" t="s">
        <v>98</v>
      </c>
      <c r="H9" s="743"/>
      <c r="I9" s="743"/>
      <c r="J9" s="682"/>
      <c r="Q9" s="8"/>
      <c r="R9" s="10"/>
    </row>
    <row r="10" spans="1:18" ht="50.25" customHeight="1">
      <c r="A10" s="668"/>
      <c r="B10" s="668"/>
      <c r="C10" s="150" t="s">
        <v>180</v>
      </c>
      <c r="D10" s="150" t="s">
        <v>14</v>
      </c>
      <c r="E10" s="526" t="s">
        <v>859</v>
      </c>
      <c r="F10" s="152" t="s">
        <v>197</v>
      </c>
      <c r="G10" s="150" t="s">
        <v>180</v>
      </c>
      <c r="H10" s="179" t="s">
        <v>15</v>
      </c>
      <c r="I10" s="178" t="s">
        <v>106</v>
      </c>
      <c r="J10" s="150" t="s">
        <v>198</v>
      </c>
    </row>
    <row r="11" spans="1:18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2">
        <v>6</v>
      </c>
      <c r="G11" s="150">
        <v>7</v>
      </c>
      <c r="H11" s="153">
        <v>8</v>
      </c>
      <c r="I11" s="150">
        <v>9</v>
      </c>
      <c r="J11" s="150">
        <v>10</v>
      </c>
    </row>
    <row r="12" spans="1:18">
      <c r="A12" s="204">
        <v>1</v>
      </c>
      <c r="B12" s="204" t="s">
        <v>624</v>
      </c>
      <c r="C12" s="8">
        <v>968</v>
      </c>
      <c r="D12" s="8">
        <v>36615</v>
      </c>
      <c r="E12" s="8">
        <v>158</v>
      </c>
      <c r="F12" s="47">
        <f>D12*E12</f>
        <v>5785170</v>
      </c>
      <c r="G12" s="8">
        <f>'AT3A_cvrg(Insti)_PY'!L12-'AT3A_cvrg(Insti)_PY'!J12</f>
        <v>929</v>
      </c>
      <c r="H12" s="16">
        <f>'enrolment vs availed_PY'!Q11</f>
        <v>5556228</v>
      </c>
      <c r="I12" s="16">
        <v>158</v>
      </c>
      <c r="J12" s="361">
        <f>H12/I12</f>
        <v>35166</v>
      </c>
    </row>
    <row r="13" spans="1:18">
      <c r="A13" s="204">
        <f>A12+1</f>
        <v>2</v>
      </c>
      <c r="B13" s="204" t="s">
        <v>589</v>
      </c>
      <c r="C13" s="8">
        <v>1027</v>
      </c>
      <c r="D13" s="546">
        <v>39180</v>
      </c>
      <c r="E13" s="546">
        <v>158</v>
      </c>
      <c r="F13" s="47">
        <f t="shared" ref="F13:F44" si="0">D13*E13</f>
        <v>6190440</v>
      </c>
      <c r="G13" s="8">
        <f>'AT3A_cvrg(Insti)_PY'!L13-'AT3A_cvrg(Insti)_PY'!J13</f>
        <v>1015</v>
      </c>
      <c r="H13" s="16">
        <f>'enrolment vs availed_PY'!Q12</f>
        <v>5789436</v>
      </c>
      <c r="I13" s="547">
        <v>158</v>
      </c>
      <c r="J13" s="361">
        <f t="shared" ref="J13:J25" si="1">H13/I13</f>
        <v>36642</v>
      </c>
      <c r="M13" s="358"/>
    </row>
    <row r="14" spans="1:18">
      <c r="A14" s="204">
        <f t="shared" ref="A14:A44" si="2">A13+1</f>
        <v>3</v>
      </c>
      <c r="B14" s="204" t="s">
        <v>625</v>
      </c>
      <c r="C14" s="8">
        <v>616</v>
      </c>
      <c r="D14" s="546">
        <v>78114</v>
      </c>
      <c r="E14" s="546">
        <v>158</v>
      </c>
      <c r="F14" s="47">
        <f t="shared" si="0"/>
        <v>12342012</v>
      </c>
      <c r="G14" s="8">
        <f>'AT3A_cvrg(Insti)_PY'!L14-'AT3A_cvrg(Insti)_PY'!J14</f>
        <v>575</v>
      </c>
      <c r="H14" s="16">
        <f>'enrolment vs availed_PY'!Q13</f>
        <v>11919046</v>
      </c>
      <c r="I14" s="547">
        <v>158</v>
      </c>
      <c r="J14" s="361">
        <f t="shared" si="1"/>
        <v>75437</v>
      </c>
      <c r="M14" s="358"/>
    </row>
    <row r="15" spans="1:18">
      <c r="A15" s="204">
        <f t="shared" si="2"/>
        <v>4</v>
      </c>
      <c r="B15" s="204" t="s">
        <v>590</v>
      </c>
      <c r="C15" s="8">
        <v>522</v>
      </c>
      <c r="D15" s="546">
        <v>26197</v>
      </c>
      <c r="E15" s="546">
        <v>158</v>
      </c>
      <c r="F15" s="552">
        <f t="shared" si="0"/>
        <v>4139126</v>
      </c>
      <c r="G15" s="8">
        <f>'AT3A_cvrg(Insti)_PY'!L15-'AT3A_cvrg(Insti)_PY'!J15</f>
        <v>487</v>
      </c>
      <c r="H15" s="16">
        <f>'enrolment vs availed_PY'!Q14</f>
        <v>3742388</v>
      </c>
      <c r="I15" s="547">
        <v>158</v>
      </c>
      <c r="J15" s="361">
        <f t="shared" si="1"/>
        <v>23686</v>
      </c>
      <c r="M15" s="358"/>
    </row>
    <row r="16" spans="1:18">
      <c r="A16" s="204">
        <f t="shared" si="2"/>
        <v>5</v>
      </c>
      <c r="B16" s="204" t="s">
        <v>591</v>
      </c>
      <c r="C16" s="8">
        <v>368</v>
      </c>
      <c r="D16" s="546">
        <v>16042</v>
      </c>
      <c r="E16" s="546">
        <v>158</v>
      </c>
      <c r="F16" s="552">
        <f t="shared" si="0"/>
        <v>2534636</v>
      </c>
      <c r="G16" s="8">
        <f>'AT3A_cvrg(Insti)_PY'!L16-'AT3A_cvrg(Insti)_PY'!J16</f>
        <v>319</v>
      </c>
      <c r="H16" s="16">
        <f>'enrolment vs availed_PY'!Q15</f>
        <v>2250710</v>
      </c>
      <c r="I16" s="547">
        <v>158</v>
      </c>
      <c r="J16" s="361">
        <f t="shared" si="1"/>
        <v>14245</v>
      </c>
      <c r="M16" s="358"/>
    </row>
    <row r="17" spans="1:13">
      <c r="A17" s="204">
        <f t="shared" si="2"/>
        <v>6</v>
      </c>
      <c r="B17" s="204" t="s">
        <v>592</v>
      </c>
      <c r="C17" s="8">
        <v>302</v>
      </c>
      <c r="D17" s="546">
        <v>11660</v>
      </c>
      <c r="E17" s="546">
        <v>158</v>
      </c>
      <c r="F17" s="552">
        <f t="shared" si="0"/>
        <v>1842280</v>
      </c>
      <c r="G17" s="8">
        <f>'AT3A_cvrg(Insti)_PY'!L17-'AT3A_cvrg(Insti)_PY'!J17</f>
        <v>298</v>
      </c>
      <c r="H17" s="16">
        <f>'enrolment vs availed_PY'!Q16</f>
        <v>1635932</v>
      </c>
      <c r="I17" s="547">
        <v>158</v>
      </c>
      <c r="J17" s="361">
        <f t="shared" si="1"/>
        <v>10354</v>
      </c>
      <c r="M17" s="358"/>
    </row>
    <row r="18" spans="1:13">
      <c r="A18" s="204">
        <f t="shared" si="2"/>
        <v>7</v>
      </c>
      <c r="B18" s="204" t="s">
        <v>593</v>
      </c>
      <c r="C18" s="8">
        <v>292</v>
      </c>
      <c r="D18" s="546">
        <v>33446</v>
      </c>
      <c r="E18" s="546">
        <v>158</v>
      </c>
      <c r="F18" s="552">
        <f t="shared" si="0"/>
        <v>5284468</v>
      </c>
      <c r="G18" s="8">
        <f>'AT3A_cvrg(Insti)_PY'!L18-'AT3A_cvrg(Insti)_PY'!J18</f>
        <v>287</v>
      </c>
      <c r="H18" s="16">
        <f>'enrolment vs availed_PY'!Q17</f>
        <v>4898948</v>
      </c>
      <c r="I18" s="547">
        <v>158</v>
      </c>
      <c r="J18" s="361">
        <f t="shared" si="1"/>
        <v>31006</v>
      </c>
      <c r="M18" s="358"/>
    </row>
    <row r="19" spans="1:13">
      <c r="A19" s="204">
        <f t="shared" si="2"/>
        <v>8</v>
      </c>
      <c r="B19" s="204" t="s">
        <v>594</v>
      </c>
      <c r="C19" s="8">
        <v>704</v>
      </c>
      <c r="D19" s="546">
        <v>41255</v>
      </c>
      <c r="E19" s="546">
        <v>158</v>
      </c>
      <c r="F19" s="552">
        <f t="shared" si="0"/>
        <v>6518290</v>
      </c>
      <c r="G19" s="8">
        <f>'AT3A_cvrg(Insti)_PY'!L19-'AT3A_cvrg(Insti)_PY'!J19</f>
        <v>678</v>
      </c>
      <c r="H19" s="16">
        <f>'enrolment vs availed_PY'!Q18</f>
        <v>6212086</v>
      </c>
      <c r="I19" s="547">
        <v>158</v>
      </c>
      <c r="J19" s="361">
        <f t="shared" si="1"/>
        <v>39317</v>
      </c>
      <c r="M19" s="358"/>
    </row>
    <row r="20" spans="1:13">
      <c r="A20" s="204">
        <f t="shared" si="2"/>
        <v>9</v>
      </c>
      <c r="B20" s="204" t="s">
        <v>595</v>
      </c>
      <c r="C20" s="8">
        <v>436</v>
      </c>
      <c r="D20" s="546">
        <v>18125</v>
      </c>
      <c r="E20" s="546">
        <v>158</v>
      </c>
      <c r="F20" s="552">
        <f t="shared" si="0"/>
        <v>2863750</v>
      </c>
      <c r="G20" s="8">
        <f>'AT3A_cvrg(Insti)_PY'!L20-'AT3A_cvrg(Insti)_PY'!J20</f>
        <v>398</v>
      </c>
      <c r="H20" s="16">
        <f>'enrolment vs availed_PY'!Q19</f>
        <v>2653768</v>
      </c>
      <c r="I20" s="547">
        <v>158</v>
      </c>
      <c r="J20" s="361">
        <f t="shared" si="1"/>
        <v>16796</v>
      </c>
      <c r="M20" s="358"/>
    </row>
    <row r="21" spans="1:13">
      <c r="A21" s="204">
        <f t="shared" si="2"/>
        <v>10</v>
      </c>
      <c r="B21" s="204" t="s">
        <v>596</v>
      </c>
      <c r="C21" s="8">
        <v>841</v>
      </c>
      <c r="D21" s="546">
        <v>42174</v>
      </c>
      <c r="E21" s="546">
        <v>158</v>
      </c>
      <c r="F21" s="552">
        <f t="shared" si="0"/>
        <v>6663492</v>
      </c>
      <c r="G21" s="8">
        <f>'AT3A_cvrg(Insti)_PY'!L21-'AT3A_cvrg(Insti)_PY'!J21</f>
        <v>823</v>
      </c>
      <c r="H21" s="16">
        <f>'enrolment vs availed_PY'!Q20</f>
        <v>6089794</v>
      </c>
      <c r="I21" s="547">
        <v>158</v>
      </c>
      <c r="J21" s="361">
        <f t="shared" si="1"/>
        <v>38543</v>
      </c>
      <c r="M21" s="358"/>
    </row>
    <row r="22" spans="1:13">
      <c r="A22" s="204">
        <f t="shared" si="2"/>
        <v>11</v>
      </c>
      <c r="B22" s="204" t="s">
        <v>626</v>
      </c>
      <c r="C22" s="8">
        <v>902</v>
      </c>
      <c r="D22" s="546">
        <v>28340</v>
      </c>
      <c r="E22" s="546">
        <v>158</v>
      </c>
      <c r="F22" s="552">
        <f t="shared" si="0"/>
        <v>4477720</v>
      </c>
      <c r="G22" s="8">
        <f>'AT3A_cvrg(Insti)_PY'!L22-'AT3A_cvrg(Insti)_PY'!J22</f>
        <v>840</v>
      </c>
      <c r="H22" s="16">
        <f>'enrolment vs availed_PY'!Q21</f>
        <v>3968170</v>
      </c>
      <c r="I22" s="547">
        <v>158</v>
      </c>
      <c r="J22" s="361">
        <f t="shared" si="1"/>
        <v>25115</v>
      </c>
      <c r="M22" s="358"/>
    </row>
    <row r="23" spans="1:13">
      <c r="A23" s="204">
        <f t="shared" si="2"/>
        <v>12</v>
      </c>
      <c r="B23" s="204" t="s">
        <v>597</v>
      </c>
      <c r="C23" s="8">
        <v>783</v>
      </c>
      <c r="D23" s="546">
        <v>26578</v>
      </c>
      <c r="E23" s="546">
        <v>158</v>
      </c>
      <c r="F23" s="552">
        <f t="shared" si="0"/>
        <v>4199324</v>
      </c>
      <c r="G23" s="8">
        <f>'AT3A_cvrg(Insti)_PY'!L23-'AT3A_cvrg(Insti)_PY'!J23</f>
        <v>663</v>
      </c>
      <c r="H23" s="16">
        <f>'enrolment vs availed_PY'!Q22</f>
        <v>3730696</v>
      </c>
      <c r="I23" s="547">
        <v>158</v>
      </c>
      <c r="J23" s="361">
        <f t="shared" si="1"/>
        <v>23612</v>
      </c>
      <c r="M23" s="358"/>
    </row>
    <row r="24" spans="1:13">
      <c r="A24" s="204">
        <f t="shared" si="2"/>
        <v>13</v>
      </c>
      <c r="B24" s="204" t="s">
        <v>598</v>
      </c>
      <c r="C24" s="8">
        <v>617</v>
      </c>
      <c r="D24" s="546">
        <v>36875</v>
      </c>
      <c r="E24" s="546">
        <v>158</v>
      </c>
      <c r="F24" s="552">
        <f t="shared" si="0"/>
        <v>5826250</v>
      </c>
      <c r="G24" s="8">
        <f>'AT3A_cvrg(Insti)_PY'!L24-'AT3A_cvrg(Insti)_PY'!J24</f>
        <v>613</v>
      </c>
      <c r="H24" s="16">
        <f>'enrolment vs availed_PY'!Q23</f>
        <v>5622904</v>
      </c>
      <c r="I24" s="547">
        <v>158</v>
      </c>
      <c r="J24" s="361">
        <f t="shared" si="1"/>
        <v>35588</v>
      </c>
      <c r="M24" s="358"/>
    </row>
    <row r="25" spans="1:13">
      <c r="A25" s="204">
        <f t="shared" si="2"/>
        <v>14</v>
      </c>
      <c r="B25" s="204" t="s">
        <v>627</v>
      </c>
      <c r="C25" s="8">
        <v>573</v>
      </c>
      <c r="D25" s="546">
        <v>20934</v>
      </c>
      <c r="E25" s="546">
        <v>158</v>
      </c>
      <c r="F25" s="552">
        <f t="shared" si="0"/>
        <v>3307572</v>
      </c>
      <c r="G25" s="8">
        <f>'AT3A_cvrg(Insti)_PY'!L25-'AT3A_cvrg(Insti)_PY'!J25</f>
        <v>551</v>
      </c>
      <c r="H25" s="16">
        <f>'enrolment vs availed_PY'!Q24</f>
        <v>3041500</v>
      </c>
      <c r="I25" s="547">
        <v>158</v>
      </c>
      <c r="J25" s="361">
        <f t="shared" si="1"/>
        <v>19250</v>
      </c>
      <c r="M25" s="358"/>
    </row>
    <row r="26" spans="1:13">
      <c r="A26" s="204">
        <f t="shared" si="2"/>
        <v>15</v>
      </c>
      <c r="B26" s="204" t="s">
        <v>599</v>
      </c>
      <c r="C26" s="8">
        <v>632</v>
      </c>
      <c r="D26" s="546">
        <v>36963</v>
      </c>
      <c r="E26" s="546">
        <v>158</v>
      </c>
      <c r="F26" s="552">
        <f t="shared" si="0"/>
        <v>5840154</v>
      </c>
      <c r="G26" s="546">
        <f>'AT3A_cvrg(Insti)_PY'!L26-'AT3A_cvrg(Insti)_PY'!J26</f>
        <v>609</v>
      </c>
      <c r="H26" s="547">
        <f>'enrolment vs availed_PY'!Q25</f>
        <v>5345614</v>
      </c>
      <c r="I26" s="547">
        <v>158</v>
      </c>
      <c r="J26" s="361">
        <f t="shared" ref="J26:J44" si="3">H26/I26</f>
        <v>33833</v>
      </c>
      <c r="M26" s="358"/>
    </row>
    <row r="27" spans="1:13">
      <c r="A27" s="204">
        <f t="shared" si="2"/>
        <v>16</v>
      </c>
      <c r="B27" s="204" t="s">
        <v>600</v>
      </c>
      <c r="C27" s="8">
        <v>381</v>
      </c>
      <c r="D27" s="546">
        <v>38020</v>
      </c>
      <c r="E27" s="546">
        <v>158</v>
      </c>
      <c r="F27" s="552">
        <f t="shared" si="0"/>
        <v>6007160</v>
      </c>
      <c r="G27" s="546">
        <f>'AT3A_cvrg(Insti)_PY'!L27-'AT3A_cvrg(Insti)_PY'!J27</f>
        <v>371</v>
      </c>
      <c r="H27" s="547">
        <f>'enrolment vs availed_PY'!Q26</f>
        <v>5509460</v>
      </c>
      <c r="I27" s="547">
        <v>158</v>
      </c>
      <c r="J27" s="361">
        <f t="shared" si="3"/>
        <v>34870</v>
      </c>
      <c r="M27" s="358"/>
    </row>
    <row r="28" spans="1:13" s="527" customFormat="1">
      <c r="A28" s="204">
        <f t="shared" si="2"/>
        <v>17</v>
      </c>
      <c r="B28" s="529" t="s">
        <v>684</v>
      </c>
      <c r="C28" s="8">
        <v>326</v>
      </c>
      <c r="D28" s="546">
        <v>10374</v>
      </c>
      <c r="E28" s="546">
        <v>158</v>
      </c>
      <c r="F28" s="552">
        <f t="shared" si="0"/>
        <v>1639092</v>
      </c>
      <c r="G28" s="546">
        <f>'AT3A_cvrg(Insti)_PY'!L28-'AT3A_cvrg(Insti)_PY'!J28</f>
        <v>321</v>
      </c>
      <c r="H28" s="547">
        <f>'enrolment vs availed_PY'!Q27</f>
        <v>1588532</v>
      </c>
      <c r="I28" s="547">
        <v>158</v>
      </c>
      <c r="J28" s="361">
        <f t="shared" si="3"/>
        <v>10054</v>
      </c>
    </row>
    <row r="29" spans="1:13">
      <c r="A29" s="204">
        <f t="shared" si="2"/>
        <v>18</v>
      </c>
      <c r="B29" s="204" t="s">
        <v>601</v>
      </c>
      <c r="C29" s="8">
        <v>613</v>
      </c>
      <c r="D29" s="546">
        <v>32851</v>
      </c>
      <c r="E29" s="546">
        <v>158</v>
      </c>
      <c r="F29" s="552">
        <f t="shared" si="0"/>
        <v>5190458</v>
      </c>
      <c r="G29" s="546">
        <f>'AT3A_cvrg(Insti)_PY'!L29-'AT3A_cvrg(Insti)_PY'!J29</f>
        <v>565</v>
      </c>
      <c r="H29" s="547">
        <f>'enrolment vs availed_PY'!Q28</f>
        <v>4634930</v>
      </c>
      <c r="I29" s="547">
        <v>158</v>
      </c>
      <c r="J29" s="361">
        <f t="shared" si="3"/>
        <v>29335</v>
      </c>
      <c r="M29" s="358"/>
    </row>
    <row r="30" spans="1:13">
      <c r="A30" s="204">
        <f t="shared" si="2"/>
        <v>19</v>
      </c>
      <c r="B30" s="204" t="s">
        <v>602</v>
      </c>
      <c r="C30" s="8">
        <v>1179</v>
      </c>
      <c r="D30" s="546">
        <v>49323</v>
      </c>
      <c r="E30" s="546">
        <v>158</v>
      </c>
      <c r="F30" s="552">
        <f t="shared" si="0"/>
        <v>7793034</v>
      </c>
      <c r="G30" s="546">
        <f>'AT3A_cvrg(Insti)_PY'!L30-'AT3A_cvrg(Insti)_PY'!J30</f>
        <v>1035</v>
      </c>
      <c r="H30" s="547">
        <f>'enrolment vs availed_PY'!Q29</f>
        <v>7323932</v>
      </c>
      <c r="I30" s="547">
        <v>158</v>
      </c>
      <c r="J30" s="361">
        <f t="shared" si="3"/>
        <v>46354</v>
      </c>
      <c r="M30" s="358"/>
    </row>
    <row r="31" spans="1:13" s="527" customFormat="1">
      <c r="A31" s="204">
        <f t="shared" si="2"/>
        <v>20</v>
      </c>
      <c r="B31" s="529" t="s">
        <v>683</v>
      </c>
      <c r="C31" s="8">
        <v>329</v>
      </c>
      <c r="D31" s="546">
        <v>31697</v>
      </c>
      <c r="E31" s="546">
        <v>158</v>
      </c>
      <c r="F31" s="552">
        <f t="shared" si="0"/>
        <v>5008126</v>
      </c>
      <c r="G31" s="546">
        <f>'AT3A_cvrg(Insti)_PY'!L31-'AT3A_cvrg(Insti)_PY'!J31</f>
        <v>324</v>
      </c>
      <c r="H31" s="547">
        <f>'enrolment vs availed_PY'!Q30</f>
        <v>4345632</v>
      </c>
      <c r="I31" s="547">
        <v>158</v>
      </c>
      <c r="J31" s="361">
        <f t="shared" si="3"/>
        <v>27504</v>
      </c>
    </row>
    <row r="32" spans="1:13">
      <c r="A32" s="204">
        <f t="shared" si="2"/>
        <v>21</v>
      </c>
      <c r="B32" s="529" t="s">
        <v>628</v>
      </c>
      <c r="C32" s="8">
        <v>589</v>
      </c>
      <c r="D32" s="546">
        <v>26599</v>
      </c>
      <c r="E32" s="546">
        <v>158</v>
      </c>
      <c r="F32" s="552">
        <f t="shared" si="0"/>
        <v>4202642</v>
      </c>
      <c r="G32" s="546">
        <f>'AT3A_cvrg(Insti)_PY'!L32-'AT3A_cvrg(Insti)_PY'!J32</f>
        <v>555</v>
      </c>
      <c r="H32" s="547">
        <f>'enrolment vs availed_PY'!Q31</f>
        <v>3798478</v>
      </c>
      <c r="I32" s="547">
        <v>158</v>
      </c>
      <c r="J32" s="361">
        <f t="shared" si="3"/>
        <v>24041</v>
      </c>
      <c r="M32" s="358"/>
    </row>
    <row r="33" spans="1:13">
      <c r="A33" s="204">
        <f t="shared" si="2"/>
        <v>22</v>
      </c>
      <c r="B33" s="204" t="s">
        <v>603</v>
      </c>
      <c r="C33" s="8">
        <v>780</v>
      </c>
      <c r="D33" s="546">
        <v>49873</v>
      </c>
      <c r="E33" s="546">
        <v>158</v>
      </c>
      <c r="F33" s="552">
        <f t="shared" si="0"/>
        <v>7879934</v>
      </c>
      <c r="G33" s="546">
        <f>'AT3A_cvrg(Insti)_PY'!L33-'AT3A_cvrg(Insti)_PY'!J33</f>
        <v>781</v>
      </c>
      <c r="H33" s="547">
        <f>'enrolment vs availed_PY'!Q32</f>
        <v>7489990</v>
      </c>
      <c r="I33" s="547">
        <v>158</v>
      </c>
      <c r="J33" s="361">
        <f t="shared" si="3"/>
        <v>47405</v>
      </c>
      <c r="M33" s="358"/>
    </row>
    <row r="34" spans="1:13">
      <c r="A34" s="204">
        <f t="shared" si="2"/>
        <v>23</v>
      </c>
      <c r="B34" s="204" t="s">
        <v>604</v>
      </c>
      <c r="C34" s="8">
        <v>366</v>
      </c>
      <c r="D34" s="546">
        <v>14076</v>
      </c>
      <c r="E34" s="546">
        <v>158</v>
      </c>
      <c r="F34" s="552">
        <f t="shared" si="0"/>
        <v>2224008</v>
      </c>
      <c r="G34" s="546">
        <f>'AT3A_cvrg(Insti)_PY'!L34-'AT3A_cvrg(Insti)_PY'!J34</f>
        <v>330</v>
      </c>
      <c r="H34" s="547">
        <f>'enrolment vs availed_PY'!Q33</f>
        <v>2098714</v>
      </c>
      <c r="I34" s="547">
        <v>158</v>
      </c>
      <c r="J34" s="361">
        <f t="shared" si="3"/>
        <v>13283</v>
      </c>
      <c r="M34" s="358"/>
    </row>
    <row r="35" spans="1:13">
      <c r="A35" s="204">
        <f t="shared" si="2"/>
        <v>24</v>
      </c>
      <c r="B35" s="204" t="s">
        <v>605</v>
      </c>
      <c r="C35" s="8">
        <v>345</v>
      </c>
      <c r="D35" s="546">
        <v>15979</v>
      </c>
      <c r="E35" s="546">
        <v>158</v>
      </c>
      <c r="F35" s="552">
        <f t="shared" si="0"/>
        <v>2524682</v>
      </c>
      <c r="G35" s="546">
        <f>'AT3A_cvrg(Insti)_PY'!L35-'AT3A_cvrg(Insti)_PY'!J35</f>
        <v>321</v>
      </c>
      <c r="H35" s="547">
        <f>'enrolment vs availed_PY'!Q34</f>
        <v>2501140</v>
      </c>
      <c r="I35" s="547">
        <v>158</v>
      </c>
      <c r="J35" s="361">
        <f t="shared" si="3"/>
        <v>15830</v>
      </c>
      <c r="M35" s="358"/>
    </row>
    <row r="36" spans="1:13">
      <c r="A36" s="204">
        <f t="shared" si="2"/>
        <v>25</v>
      </c>
      <c r="B36" s="204" t="s">
        <v>606</v>
      </c>
      <c r="C36" s="8">
        <v>903</v>
      </c>
      <c r="D36" s="546">
        <v>69199</v>
      </c>
      <c r="E36" s="546">
        <v>158</v>
      </c>
      <c r="F36" s="552">
        <f t="shared" si="0"/>
        <v>10933442</v>
      </c>
      <c r="G36" s="546">
        <f>'AT3A_cvrg(Insti)_PY'!L36-'AT3A_cvrg(Insti)_PY'!J36</f>
        <v>868</v>
      </c>
      <c r="H36" s="547">
        <f>'enrolment vs availed_PY'!Q35</f>
        <v>9985126</v>
      </c>
      <c r="I36" s="547">
        <v>158</v>
      </c>
      <c r="J36" s="361">
        <f t="shared" si="3"/>
        <v>63197</v>
      </c>
      <c r="M36" s="358"/>
    </row>
    <row r="37" spans="1:13">
      <c r="A37" s="204">
        <f t="shared" si="2"/>
        <v>26</v>
      </c>
      <c r="B37" s="204" t="s">
        <v>607</v>
      </c>
      <c r="C37" s="8">
        <v>877</v>
      </c>
      <c r="D37" s="546">
        <v>55294</v>
      </c>
      <c r="E37" s="546">
        <v>158</v>
      </c>
      <c r="F37" s="552">
        <f t="shared" si="0"/>
        <v>8736452</v>
      </c>
      <c r="G37" s="546">
        <f>'AT3A_cvrg(Insti)_PY'!L37-'AT3A_cvrg(Insti)_PY'!J37</f>
        <v>858</v>
      </c>
      <c r="H37" s="547">
        <f>'enrolment vs availed_PY'!Q36</f>
        <v>8056104</v>
      </c>
      <c r="I37" s="547">
        <v>158</v>
      </c>
      <c r="J37" s="361">
        <f t="shared" si="3"/>
        <v>50988</v>
      </c>
      <c r="M37" s="358"/>
    </row>
    <row r="38" spans="1:13">
      <c r="A38" s="204">
        <f t="shared" si="2"/>
        <v>27</v>
      </c>
      <c r="B38" s="204" t="s">
        <v>608</v>
      </c>
      <c r="C38" s="8">
        <v>643</v>
      </c>
      <c r="D38" s="546">
        <v>35277</v>
      </c>
      <c r="E38" s="546">
        <v>158</v>
      </c>
      <c r="F38" s="552">
        <f t="shared" si="0"/>
        <v>5573766</v>
      </c>
      <c r="G38" s="546">
        <f>'AT3A_cvrg(Insti)_PY'!L38-'AT3A_cvrg(Insti)_PY'!J38</f>
        <v>607</v>
      </c>
      <c r="H38" s="547">
        <f>'enrolment vs availed_PY'!Q37</f>
        <v>5306114</v>
      </c>
      <c r="I38" s="547">
        <v>158</v>
      </c>
      <c r="J38" s="361">
        <f t="shared" si="3"/>
        <v>33583</v>
      </c>
      <c r="M38" s="358"/>
    </row>
    <row r="39" spans="1:13">
      <c r="A39" s="204">
        <f t="shared" si="2"/>
        <v>28</v>
      </c>
      <c r="B39" s="204" t="s">
        <v>609</v>
      </c>
      <c r="C39" s="8">
        <v>706</v>
      </c>
      <c r="D39" s="546">
        <v>30102</v>
      </c>
      <c r="E39" s="546">
        <v>158</v>
      </c>
      <c r="F39" s="552">
        <f t="shared" si="0"/>
        <v>4756116</v>
      </c>
      <c r="G39" s="546">
        <f>'AT3A_cvrg(Insti)_PY'!L39-'AT3A_cvrg(Insti)_PY'!J39</f>
        <v>672</v>
      </c>
      <c r="H39" s="547">
        <f>'enrolment vs availed_PY'!Q38</f>
        <v>4125854</v>
      </c>
      <c r="I39" s="547">
        <v>158</v>
      </c>
      <c r="J39" s="361">
        <f t="shared" si="3"/>
        <v>26113</v>
      </c>
      <c r="M39" s="358"/>
    </row>
    <row r="40" spans="1:13">
      <c r="A40" s="204">
        <f t="shared" si="2"/>
        <v>29</v>
      </c>
      <c r="B40" s="204" t="s">
        <v>610</v>
      </c>
      <c r="C40" s="8">
        <v>760</v>
      </c>
      <c r="D40" s="546">
        <v>45599</v>
      </c>
      <c r="E40" s="546">
        <v>158</v>
      </c>
      <c r="F40" s="552">
        <f t="shared" si="0"/>
        <v>7204642</v>
      </c>
      <c r="G40" s="546">
        <f>'AT3A_cvrg(Insti)_PY'!L40-'AT3A_cvrg(Insti)_PY'!J40</f>
        <v>732</v>
      </c>
      <c r="H40" s="547">
        <f>'enrolment vs availed_PY'!Q39</f>
        <v>6618462</v>
      </c>
      <c r="I40" s="547">
        <v>158</v>
      </c>
      <c r="J40" s="361">
        <f t="shared" si="3"/>
        <v>41889</v>
      </c>
      <c r="M40" s="358"/>
    </row>
    <row r="41" spans="1:13">
      <c r="A41" s="204">
        <f t="shared" si="2"/>
        <v>30</v>
      </c>
      <c r="B41" s="502" t="s">
        <v>611</v>
      </c>
      <c r="C41" s="8">
        <v>367</v>
      </c>
      <c r="D41" s="546">
        <v>22246</v>
      </c>
      <c r="E41" s="546">
        <v>158</v>
      </c>
      <c r="F41" s="552">
        <f t="shared" si="0"/>
        <v>3514868</v>
      </c>
      <c r="G41" s="546">
        <f>'AT3A_cvrg(Insti)_PY'!L41-'AT3A_cvrg(Insti)_PY'!J41</f>
        <v>346</v>
      </c>
      <c r="H41" s="547">
        <f>'enrolment vs availed_PY'!Q40</f>
        <v>3234260</v>
      </c>
      <c r="I41" s="547">
        <v>158</v>
      </c>
      <c r="J41" s="361">
        <f t="shared" si="3"/>
        <v>20470</v>
      </c>
      <c r="M41" s="358"/>
    </row>
    <row r="42" spans="1:13">
      <c r="A42" s="204">
        <f t="shared" si="2"/>
        <v>31</v>
      </c>
      <c r="B42" s="502" t="s">
        <v>612</v>
      </c>
      <c r="C42" s="8">
        <v>477</v>
      </c>
      <c r="D42" s="546">
        <v>17465</v>
      </c>
      <c r="E42" s="546">
        <v>158</v>
      </c>
      <c r="F42" s="552">
        <f t="shared" si="0"/>
        <v>2759470</v>
      </c>
      <c r="G42" s="546">
        <f>'AT3A_cvrg(Insti)_PY'!L42-'AT3A_cvrg(Insti)_PY'!J42</f>
        <v>386</v>
      </c>
      <c r="H42" s="547">
        <f>'enrolment vs availed_PY'!Q41</f>
        <v>2543800</v>
      </c>
      <c r="I42" s="547">
        <v>158</v>
      </c>
      <c r="J42" s="361">
        <f t="shared" si="3"/>
        <v>16100</v>
      </c>
      <c r="M42" s="358"/>
    </row>
    <row r="43" spans="1:13">
      <c r="A43" s="204">
        <f t="shared" si="2"/>
        <v>32</v>
      </c>
      <c r="B43" s="502" t="s">
        <v>613</v>
      </c>
      <c r="C43" s="8">
        <v>358</v>
      </c>
      <c r="D43" s="546">
        <v>21180</v>
      </c>
      <c r="E43" s="546">
        <v>158</v>
      </c>
      <c r="F43" s="552">
        <f t="shared" si="0"/>
        <v>3346440</v>
      </c>
      <c r="G43" s="546">
        <f>'AT3A_cvrg(Insti)_PY'!L43-'AT3A_cvrg(Insti)_PY'!J43</f>
        <v>324</v>
      </c>
      <c r="H43" s="547">
        <f>'enrolment vs availed_PY'!Q42</f>
        <v>3224780</v>
      </c>
      <c r="I43" s="547">
        <v>158</v>
      </c>
      <c r="J43" s="361">
        <f t="shared" si="3"/>
        <v>20410</v>
      </c>
      <c r="M43" s="358"/>
    </row>
    <row r="44" spans="1:13">
      <c r="A44" s="204">
        <f t="shared" si="2"/>
        <v>33</v>
      </c>
      <c r="B44" s="502" t="s">
        <v>614</v>
      </c>
      <c r="C44" s="17">
        <v>477</v>
      </c>
      <c r="D44" s="546">
        <v>18004</v>
      </c>
      <c r="E44" s="546">
        <v>158</v>
      </c>
      <c r="F44" s="552">
        <f t="shared" si="0"/>
        <v>2844632</v>
      </c>
      <c r="G44" s="546">
        <f>'AT3A_cvrg(Insti)_PY'!L44-'AT3A_cvrg(Insti)_PY'!J44</f>
        <v>448</v>
      </c>
      <c r="H44" s="547">
        <f>'enrolment vs availed_PY'!Q43</f>
        <v>2792492</v>
      </c>
      <c r="I44" s="547">
        <v>158</v>
      </c>
      <c r="J44" s="361">
        <f t="shared" si="3"/>
        <v>17674</v>
      </c>
      <c r="M44" s="358"/>
    </row>
    <row r="45" spans="1:13">
      <c r="A45" s="151"/>
      <c r="B45" s="151" t="s">
        <v>615</v>
      </c>
      <c r="C45" s="494">
        <f>SUM(C12:C44)</f>
        <v>20059</v>
      </c>
      <c r="D45" s="494">
        <f t="shared" ref="D45:J45" si="4">SUM(D12:D44)</f>
        <v>1075656</v>
      </c>
      <c r="E45" s="494">
        <v>158</v>
      </c>
      <c r="F45" s="494">
        <f t="shared" si="4"/>
        <v>169953648</v>
      </c>
      <c r="G45" s="494">
        <f t="shared" si="4"/>
        <v>18929</v>
      </c>
      <c r="H45" s="17">
        <f t="shared" si="4"/>
        <v>157635020</v>
      </c>
      <c r="I45" s="17">
        <v>158</v>
      </c>
      <c r="J45" s="362">
        <f t="shared" si="4"/>
        <v>997690</v>
      </c>
    </row>
    <row r="46" spans="1:13">
      <c r="A46" s="3"/>
      <c r="B46" s="18"/>
      <c r="C46" s="18"/>
      <c r="D46" s="10"/>
      <c r="E46" s="10"/>
      <c r="F46" s="10"/>
      <c r="G46" s="10"/>
      <c r="H46" s="10"/>
      <c r="I46" s="10"/>
      <c r="J46" s="10"/>
    </row>
    <row r="47" spans="1:13">
      <c r="A47" s="422" t="s">
        <v>682</v>
      </c>
      <c r="B47" s="18"/>
      <c r="C47" s="18"/>
      <c r="D47" s="10"/>
      <c r="E47" s="10"/>
      <c r="F47" s="10"/>
      <c r="G47" s="10"/>
      <c r="H47" s="10"/>
      <c r="I47" s="10"/>
      <c r="J47" s="10"/>
    </row>
    <row r="50" spans="7:10" ht="15.75">
      <c r="G50" s="761" t="s">
        <v>908</v>
      </c>
      <c r="H50" s="761"/>
      <c r="I50" s="761"/>
      <c r="J50" s="761"/>
    </row>
    <row r="51" spans="7:10" ht="15.75">
      <c r="G51" s="761" t="s">
        <v>646</v>
      </c>
      <c r="H51" s="761"/>
      <c r="I51" s="761"/>
      <c r="J51" s="761"/>
    </row>
  </sheetData>
  <mergeCells count="12">
    <mergeCell ref="G50:J50"/>
    <mergeCell ref="G51:J5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44" bottom="0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topLeftCell="A11" zoomScale="90" zoomScaleNormal="70" zoomScaleSheetLayoutView="90" workbookViewId="0">
      <selection activeCell="M29" sqref="M29"/>
    </sheetView>
  </sheetViews>
  <sheetFormatPr defaultColWidth="9.140625" defaultRowHeight="12.75"/>
  <cols>
    <col min="1" max="1" width="7.42578125" style="173" customWidth="1"/>
    <col min="2" max="2" width="17.140625" style="173" customWidth="1"/>
    <col min="3" max="3" width="11" style="173" customWidth="1"/>
    <col min="4" max="4" width="10" style="173" customWidth="1"/>
    <col min="5" max="5" width="14.140625" style="173" customWidth="1"/>
    <col min="6" max="6" width="14.28515625" style="173" customWidth="1"/>
    <col min="7" max="7" width="13.28515625" style="173" customWidth="1"/>
    <col min="8" max="8" width="14.7109375" style="173" customWidth="1"/>
    <col min="9" max="9" width="16.7109375" style="173" customWidth="1"/>
    <col min="10" max="10" width="19.28515625" style="173" customWidth="1"/>
    <col min="11" max="16384" width="9.140625" style="173"/>
  </cols>
  <sheetData>
    <row r="1" spans="1:16">
      <c r="E1" s="700"/>
      <c r="F1" s="700"/>
      <c r="G1" s="700"/>
      <c r="H1" s="700"/>
      <c r="I1" s="700"/>
      <c r="J1" s="176" t="s">
        <v>351</v>
      </c>
    </row>
    <row r="2" spans="1:16" ht="18">
      <c r="A2" s="807" t="s">
        <v>0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1:16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6" ht="14.25" customHeight="1"/>
    <row r="5" spans="1:16" ht="15.75">
      <c r="A5" s="805" t="s">
        <v>759</v>
      </c>
      <c r="B5" s="805"/>
      <c r="C5" s="805"/>
      <c r="D5" s="805"/>
      <c r="E5" s="805"/>
      <c r="F5" s="805"/>
      <c r="G5" s="805"/>
      <c r="H5" s="805"/>
      <c r="I5" s="805"/>
      <c r="J5" s="805"/>
    </row>
    <row r="6" spans="1:16" ht="13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6" s="5" customFormat="1">
      <c r="A7" s="21" t="s">
        <v>658</v>
      </c>
      <c r="B7" s="21"/>
    </row>
    <row r="8" spans="1:16" ht="20.25" customHeight="1">
      <c r="A8" s="699"/>
      <c r="B8" s="699"/>
      <c r="C8" s="141"/>
      <c r="H8" s="793" t="s">
        <v>774</v>
      </c>
      <c r="I8" s="793"/>
      <c r="J8" s="793"/>
    </row>
    <row r="9" spans="1:16">
      <c r="A9" s="668" t="s">
        <v>2</v>
      </c>
      <c r="B9" s="668" t="s">
        <v>3</v>
      </c>
      <c r="C9" s="681" t="s">
        <v>755</v>
      </c>
      <c r="D9" s="743"/>
      <c r="E9" s="743"/>
      <c r="F9" s="682"/>
      <c r="G9" s="681" t="s">
        <v>98</v>
      </c>
      <c r="H9" s="743"/>
      <c r="I9" s="743"/>
      <c r="J9" s="682"/>
      <c r="O9" s="8"/>
      <c r="P9" s="10"/>
    </row>
    <row r="10" spans="1:16" ht="59.25">
      <c r="A10" s="668"/>
      <c r="B10" s="668"/>
      <c r="C10" s="150" t="s">
        <v>180</v>
      </c>
      <c r="D10" s="150" t="s">
        <v>14</v>
      </c>
      <c r="E10" s="121" t="s">
        <v>860</v>
      </c>
      <c r="F10" s="152" t="s">
        <v>197</v>
      </c>
      <c r="G10" s="150" t="s">
        <v>180</v>
      </c>
      <c r="H10" s="179" t="s">
        <v>15</v>
      </c>
      <c r="I10" s="178" t="s">
        <v>106</v>
      </c>
      <c r="J10" s="150" t="s">
        <v>198</v>
      </c>
    </row>
    <row r="11" spans="1:16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2">
        <v>6</v>
      </c>
      <c r="G11" s="150">
        <v>7</v>
      </c>
      <c r="H11" s="153">
        <v>8</v>
      </c>
      <c r="I11" s="150">
        <v>9</v>
      </c>
      <c r="J11" s="150">
        <v>10</v>
      </c>
    </row>
    <row r="12" spans="1:16">
      <c r="A12" s="204">
        <v>1</v>
      </c>
      <c r="B12" s="204" t="s">
        <v>624</v>
      </c>
      <c r="C12" s="301">
        <v>232</v>
      </c>
      <c r="D12" s="301">
        <v>15634</v>
      </c>
      <c r="E12" s="8">
        <v>158</v>
      </c>
      <c r="F12" s="300">
        <f>D12*E12</f>
        <v>2470172</v>
      </c>
      <c r="G12" s="301">
        <f>'AT3B_cvrg(Insti)_UPY '!L11+'AT3C_cvrg(Insti)_UPY '!L11-'AT3B_cvrg(Insti)_UPY '!J11-'AT3C_cvrg(Insti)_UPY '!J11</f>
        <v>227</v>
      </c>
      <c r="H12" s="382">
        <f>'enrolment vs availed_UPY'!Q11-'enrolment vs availed_UPY'!O11</f>
        <v>2354990</v>
      </c>
      <c r="I12" s="299">
        <v>158</v>
      </c>
      <c r="J12" s="382">
        <f>H12/I12</f>
        <v>14905</v>
      </c>
    </row>
    <row r="13" spans="1:16">
      <c r="A13" s="204">
        <f>A12+1</f>
        <v>2</v>
      </c>
      <c r="B13" s="204" t="s">
        <v>589</v>
      </c>
      <c r="C13" s="301">
        <v>289</v>
      </c>
      <c r="D13" s="301">
        <v>18059</v>
      </c>
      <c r="E13" s="546">
        <v>158</v>
      </c>
      <c r="F13" s="300">
        <f t="shared" ref="F13:F44" si="0">D13*E13</f>
        <v>2853322</v>
      </c>
      <c r="G13" s="301">
        <f>'AT3B_cvrg(Insti)_UPY '!L12+'AT3C_cvrg(Insti)_UPY '!L12-'AT3B_cvrg(Insti)_UPY '!J12-'AT3C_cvrg(Insti)_UPY '!J12</f>
        <v>286</v>
      </c>
      <c r="H13" s="382">
        <f>'enrolment vs availed_UPY'!Q12-'enrolment vs availed_UPY'!O12</f>
        <v>2295740</v>
      </c>
      <c r="I13" s="299">
        <v>158</v>
      </c>
      <c r="J13" s="382">
        <f t="shared" ref="J13:J15" si="1">H13/I13</f>
        <v>14530</v>
      </c>
    </row>
    <row r="14" spans="1:16">
      <c r="A14" s="204">
        <f t="shared" ref="A14:A44" si="2">A13+1</f>
        <v>3</v>
      </c>
      <c r="B14" s="204" t="s">
        <v>625</v>
      </c>
      <c r="C14" s="301">
        <v>350</v>
      </c>
      <c r="D14" s="301">
        <v>41556</v>
      </c>
      <c r="E14" s="546">
        <v>158</v>
      </c>
      <c r="F14" s="300">
        <f t="shared" si="0"/>
        <v>6565848</v>
      </c>
      <c r="G14" s="301">
        <f>'AT3B_cvrg(Insti)_UPY '!L13+'AT3C_cvrg(Insti)_UPY '!L13-'AT3B_cvrg(Insti)_UPY '!J13-'AT3C_cvrg(Insti)_UPY '!J13</f>
        <v>291</v>
      </c>
      <c r="H14" s="382">
        <f>'enrolment vs availed_UPY'!Q13-'enrolment vs availed_UPY'!O13</f>
        <v>5955178</v>
      </c>
      <c r="I14" s="299">
        <v>158</v>
      </c>
      <c r="J14" s="382">
        <f t="shared" si="1"/>
        <v>37691</v>
      </c>
    </row>
    <row r="15" spans="1:16">
      <c r="A15" s="204">
        <f t="shared" si="2"/>
        <v>4</v>
      </c>
      <c r="B15" s="204" t="s">
        <v>590</v>
      </c>
      <c r="C15" s="301">
        <v>289</v>
      </c>
      <c r="D15" s="301">
        <v>18534</v>
      </c>
      <c r="E15" s="546">
        <v>158</v>
      </c>
      <c r="F15" s="300">
        <f t="shared" si="0"/>
        <v>2928372</v>
      </c>
      <c r="G15" s="301">
        <f>'AT3B_cvrg(Insti)_UPY '!L14+'AT3C_cvrg(Insti)_UPY '!L14-'AT3B_cvrg(Insti)_UPY '!J14-'AT3C_cvrg(Insti)_UPY '!J14</f>
        <v>285</v>
      </c>
      <c r="H15" s="382">
        <f>'enrolment vs availed_UPY'!Q14-'enrolment vs availed_UPY'!O14</f>
        <v>2574452</v>
      </c>
      <c r="I15" s="299">
        <v>158</v>
      </c>
      <c r="J15" s="382">
        <f t="shared" si="1"/>
        <v>16294</v>
      </c>
    </row>
    <row r="16" spans="1:16">
      <c r="A16" s="204">
        <f t="shared" si="2"/>
        <v>5</v>
      </c>
      <c r="B16" s="204" t="s">
        <v>591</v>
      </c>
      <c r="C16" s="301">
        <v>193</v>
      </c>
      <c r="D16" s="301">
        <v>12228</v>
      </c>
      <c r="E16" s="546">
        <v>158</v>
      </c>
      <c r="F16" s="300">
        <f t="shared" si="0"/>
        <v>1932024</v>
      </c>
      <c r="G16" s="301">
        <f>'AT3B_cvrg(Insti)_UPY '!L15+'AT3C_cvrg(Insti)_UPY '!L15-'AT3B_cvrg(Insti)_UPY '!J15-'AT3C_cvrg(Insti)_UPY '!J15</f>
        <v>192</v>
      </c>
      <c r="H16" s="382">
        <f>'enrolment vs availed_UPY'!Q15-'enrolment vs availed_UPY'!O15</f>
        <v>1706874</v>
      </c>
      <c r="I16" s="299">
        <v>158</v>
      </c>
      <c r="J16" s="382">
        <f t="shared" ref="J16:J44" si="3">H16/I16</f>
        <v>10803</v>
      </c>
    </row>
    <row r="17" spans="1:10">
      <c r="A17" s="204">
        <f t="shared" si="2"/>
        <v>6</v>
      </c>
      <c r="B17" s="204" t="s">
        <v>592</v>
      </c>
      <c r="C17" s="301">
        <v>119</v>
      </c>
      <c r="D17" s="301">
        <v>6856</v>
      </c>
      <c r="E17" s="546">
        <v>158</v>
      </c>
      <c r="F17" s="300">
        <f t="shared" si="0"/>
        <v>1083248</v>
      </c>
      <c r="G17" s="301">
        <f>'AT3B_cvrg(Insti)_UPY '!L16+'AT3C_cvrg(Insti)_UPY '!L16-'AT3B_cvrg(Insti)_UPY '!J16-'AT3C_cvrg(Insti)_UPY '!J16</f>
        <v>119</v>
      </c>
      <c r="H17" s="382">
        <f>'enrolment vs availed_UPY'!Q16-'enrolment vs availed_UPY'!O16</f>
        <v>863944</v>
      </c>
      <c r="I17" s="299">
        <v>158</v>
      </c>
      <c r="J17" s="382">
        <f t="shared" si="3"/>
        <v>5468</v>
      </c>
    </row>
    <row r="18" spans="1:10">
      <c r="A18" s="204">
        <f t="shared" si="2"/>
        <v>7</v>
      </c>
      <c r="B18" s="204" t="s">
        <v>593</v>
      </c>
      <c r="C18" s="301">
        <v>178</v>
      </c>
      <c r="D18" s="301">
        <v>17265</v>
      </c>
      <c r="E18" s="546">
        <v>158</v>
      </c>
      <c r="F18" s="300">
        <f t="shared" si="0"/>
        <v>2727870</v>
      </c>
      <c r="G18" s="301">
        <f>'AT3B_cvrg(Insti)_UPY '!L17+'AT3C_cvrg(Insti)_UPY '!L17-'AT3B_cvrg(Insti)_UPY '!J17-'AT3C_cvrg(Insti)_UPY '!J17</f>
        <v>175</v>
      </c>
      <c r="H18" s="382">
        <f>'enrolment vs availed_UPY'!Q17-'enrolment vs availed_UPY'!O17</f>
        <v>2474754</v>
      </c>
      <c r="I18" s="299">
        <v>158</v>
      </c>
      <c r="J18" s="382">
        <f t="shared" si="3"/>
        <v>15663</v>
      </c>
    </row>
    <row r="19" spans="1:10">
      <c r="A19" s="204">
        <f t="shared" si="2"/>
        <v>8</v>
      </c>
      <c r="B19" s="204" t="s">
        <v>594</v>
      </c>
      <c r="C19" s="301">
        <v>323</v>
      </c>
      <c r="D19" s="301">
        <v>24685</v>
      </c>
      <c r="E19" s="546">
        <v>158</v>
      </c>
      <c r="F19" s="300">
        <f t="shared" si="0"/>
        <v>3900230</v>
      </c>
      <c r="G19" s="301">
        <f>'AT3B_cvrg(Insti)_UPY '!L18+'AT3C_cvrg(Insti)_UPY '!L18-'AT3B_cvrg(Insti)_UPY '!J18-'AT3C_cvrg(Insti)_UPY '!J18</f>
        <v>323</v>
      </c>
      <c r="H19" s="382">
        <f>'enrolment vs availed_UPY'!Q18-'enrolment vs availed_UPY'!O18</f>
        <v>3303306</v>
      </c>
      <c r="I19" s="299">
        <v>158</v>
      </c>
      <c r="J19" s="382">
        <f t="shared" si="3"/>
        <v>20907</v>
      </c>
    </row>
    <row r="20" spans="1:10">
      <c r="A20" s="204">
        <f t="shared" si="2"/>
        <v>9</v>
      </c>
      <c r="B20" s="204" t="s">
        <v>595</v>
      </c>
      <c r="C20" s="301">
        <v>253</v>
      </c>
      <c r="D20" s="301">
        <v>14924</v>
      </c>
      <c r="E20" s="546">
        <v>158</v>
      </c>
      <c r="F20" s="300">
        <f t="shared" si="0"/>
        <v>2357992</v>
      </c>
      <c r="G20" s="301">
        <f>'AT3B_cvrg(Insti)_UPY '!L19+'AT3C_cvrg(Insti)_UPY '!L19-'AT3B_cvrg(Insti)_UPY '!J19-'AT3C_cvrg(Insti)_UPY '!J19</f>
        <v>243</v>
      </c>
      <c r="H20" s="382">
        <f>'enrolment vs availed_UPY'!Q19-'enrolment vs availed_UPY'!O19</f>
        <v>1957146</v>
      </c>
      <c r="I20" s="299">
        <v>158</v>
      </c>
      <c r="J20" s="382">
        <f t="shared" si="3"/>
        <v>12387</v>
      </c>
    </row>
    <row r="21" spans="1:10">
      <c r="A21" s="204">
        <f t="shared" si="2"/>
        <v>10</v>
      </c>
      <c r="B21" s="204" t="s">
        <v>596</v>
      </c>
      <c r="C21" s="301">
        <v>418</v>
      </c>
      <c r="D21" s="301">
        <v>25154</v>
      </c>
      <c r="E21" s="546">
        <v>158</v>
      </c>
      <c r="F21" s="300">
        <f t="shared" si="0"/>
        <v>3974332</v>
      </c>
      <c r="G21" s="301">
        <f>'AT3B_cvrg(Insti)_UPY '!L20+'AT3C_cvrg(Insti)_UPY '!L20-'AT3B_cvrg(Insti)_UPY '!J20-'AT3C_cvrg(Insti)_UPY '!J20</f>
        <v>414</v>
      </c>
      <c r="H21" s="382">
        <f>'enrolment vs availed_UPY'!Q20-'enrolment vs availed_UPY'!O20</f>
        <v>3380726</v>
      </c>
      <c r="I21" s="299">
        <v>158</v>
      </c>
      <c r="J21" s="382">
        <f t="shared" si="3"/>
        <v>21397</v>
      </c>
    </row>
    <row r="22" spans="1:10" ht="13.5" customHeight="1">
      <c r="A22" s="204">
        <f t="shared" si="2"/>
        <v>11</v>
      </c>
      <c r="B22" s="204" t="s">
        <v>626</v>
      </c>
      <c r="C22" s="301">
        <v>170</v>
      </c>
      <c r="D22" s="301">
        <v>11016</v>
      </c>
      <c r="E22" s="546">
        <v>158</v>
      </c>
      <c r="F22" s="300">
        <f t="shared" si="0"/>
        <v>1740528</v>
      </c>
      <c r="G22" s="301">
        <f>'AT3B_cvrg(Insti)_UPY '!L21+'AT3C_cvrg(Insti)_UPY '!L21-'AT3B_cvrg(Insti)_UPY '!J21-'AT3C_cvrg(Insti)_UPY '!J21</f>
        <v>169</v>
      </c>
      <c r="H22" s="382">
        <f>'enrolment vs availed_UPY'!Q21-'enrolment vs availed_UPY'!O21</f>
        <v>1500368</v>
      </c>
      <c r="I22" s="299">
        <v>158</v>
      </c>
      <c r="J22" s="382">
        <f t="shared" si="3"/>
        <v>9496</v>
      </c>
    </row>
    <row r="23" spans="1:10">
      <c r="A23" s="204">
        <f t="shared" si="2"/>
        <v>12</v>
      </c>
      <c r="B23" s="204" t="s">
        <v>597</v>
      </c>
      <c r="C23" s="301">
        <v>235</v>
      </c>
      <c r="D23" s="301">
        <v>14105</v>
      </c>
      <c r="E23" s="546">
        <v>158</v>
      </c>
      <c r="F23" s="300">
        <f t="shared" si="0"/>
        <v>2228590</v>
      </c>
      <c r="G23" s="301">
        <f>'AT3B_cvrg(Insti)_UPY '!L22+'AT3C_cvrg(Insti)_UPY '!L22-'AT3B_cvrg(Insti)_UPY '!J22-'AT3C_cvrg(Insti)_UPY '!J22</f>
        <v>234</v>
      </c>
      <c r="H23" s="382">
        <f>'enrolment vs availed_UPY'!Q22-'enrolment vs availed_UPY'!O22</f>
        <v>1920174</v>
      </c>
      <c r="I23" s="299">
        <v>158</v>
      </c>
      <c r="J23" s="382">
        <f t="shared" si="3"/>
        <v>12153</v>
      </c>
    </row>
    <row r="24" spans="1:10">
      <c r="A24" s="204">
        <f t="shared" si="2"/>
        <v>13</v>
      </c>
      <c r="B24" s="204" t="s">
        <v>598</v>
      </c>
      <c r="C24" s="301">
        <v>244</v>
      </c>
      <c r="D24" s="301">
        <v>25808</v>
      </c>
      <c r="E24" s="546">
        <v>158</v>
      </c>
      <c r="F24" s="300">
        <f t="shared" si="0"/>
        <v>4077664</v>
      </c>
      <c r="G24" s="301">
        <f>'AT3B_cvrg(Insti)_UPY '!L23+'AT3C_cvrg(Insti)_UPY '!L23-'AT3B_cvrg(Insti)_UPY '!J23-'AT3C_cvrg(Insti)_UPY '!J23</f>
        <v>243</v>
      </c>
      <c r="H24" s="382">
        <f>'enrolment vs availed_UPY'!Q23-'enrolment vs availed_UPY'!O23</f>
        <v>3164424</v>
      </c>
      <c r="I24" s="299">
        <v>158</v>
      </c>
      <c r="J24" s="382">
        <f t="shared" si="3"/>
        <v>20028</v>
      </c>
    </row>
    <row r="25" spans="1:10">
      <c r="A25" s="204">
        <f t="shared" si="2"/>
        <v>14</v>
      </c>
      <c r="B25" s="204" t="s">
        <v>627</v>
      </c>
      <c r="C25" s="301">
        <v>219</v>
      </c>
      <c r="D25" s="301">
        <v>16119</v>
      </c>
      <c r="E25" s="546">
        <v>158</v>
      </c>
      <c r="F25" s="300">
        <f t="shared" si="0"/>
        <v>2546802</v>
      </c>
      <c r="G25" s="301">
        <f>'AT3B_cvrg(Insti)_UPY '!L24+'AT3C_cvrg(Insti)_UPY '!L24-'AT3B_cvrg(Insti)_UPY '!J24-'AT3C_cvrg(Insti)_UPY '!J24</f>
        <v>218</v>
      </c>
      <c r="H25" s="382">
        <f>'enrolment vs availed_UPY'!Q24-'enrolment vs availed_UPY'!O24</f>
        <v>2068062</v>
      </c>
      <c r="I25" s="299">
        <v>158</v>
      </c>
      <c r="J25" s="382">
        <f t="shared" si="3"/>
        <v>13089</v>
      </c>
    </row>
    <row r="26" spans="1:10">
      <c r="A26" s="204">
        <f t="shared" si="2"/>
        <v>15</v>
      </c>
      <c r="B26" s="204" t="s">
        <v>599</v>
      </c>
      <c r="C26" s="301">
        <v>283</v>
      </c>
      <c r="D26" s="301">
        <v>24655</v>
      </c>
      <c r="E26" s="546">
        <v>158</v>
      </c>
      <c r="F26" s="300">
        <f t="shared" si="0"/>
        <v>3895490</v>
      </c>
      <c r="G26" s="301">
        <f>'AT3B_cvrg(Insti)_UPY '!L25+'AT3C_cvrg(Insti)_UPY '!L25-'AT3B_cvrg(Insti)_UPY '!J25-'AT3C_cvrg(Insti)_UPY '!J25</f>
        <v>282</v>
      </c>
      <c r="H26" s="382">
        <f>'enrolment vs availed_UPY'!Q25-'enrolment vs availed_UPY'!O25</f>
        <v>3345650</v>
      </c>
      <c r="I26" s="299">
        <v>158</v>
      </c>
      <c r="J26" s="382">
        <f t="shared" si="3"/>
        <v>21175</v>
      </c>
    </row>
    <row r="27" spans="1:10">
      <c r="A27" s="204">
        <f t="shared" si="2"/>
        <v>16</v>
      </c>
      <c r="B27" s="204" t="s">
        <v>600</v>
      </c>
      <c r="C27" s="302">
        <v>152</v>
      </c>
      <c r="D27" s="302">
        <v>25277</v>
      </c>
      <c r="E27" s="546">
        <v>158</v>
      </c>
      <c r="F27" s="300">
        <f t="shared" si="0"/>
        <v>3993766</v>
      </c>
      <c r="G27" s="301">
        <f>'AT3B_cvrg(Insti)_UPY '!L26+'AT3C_cvrg(Insti)_UPY '!L26-'AT3B_cvrg(Insti)_UPY '!J26-'AT3C_cvrg(Insti)_UPY '!J26</f>
        <v>143</v>
      </c>
      <c r="H27" s="382">
        <f>'enrolment vs availed_UPY'!Q26-'enrolment vs availed_UPY'!O26</f>
        <v>3573802</v>
      </c>
      <c r="I27" s="299">
        <v>158</v>
      </c>
      <c r="J27" s="382">
        <f t="shared" si="3"/>
        <v>22619</v>
      </c>
    </row>
    <row r="28" spans="1:10" s="527" customFormat="1">
      <c r="A28" s="204">
        <f t="shared" si="2"/>
        <v>17</v>
      </c>
      <c r="B28" s="529" t="s">
        <v>684</v>
      </c>
      <c r="C28" s="302">
        <v>87</v>
      </c>
      <c r="D28" s="302">
        <v>4890</v>
      </c>
      <c r="E28" s="546">
        <v>158</v>
      </c>
      <c r="F28" s="300">
        <f t="shared" si="0"/>
        <v>772620</v>
      </c>
      <c r="G28" s="301">
        <f>'AT3B_cvrg(Insti)_UPY '!L27+'AT3C_cvrg(Insti)_UPY '!L27-'AT3B_cvrg(Insti)_UPY '!J27-'AT3C_cvrg(Insti)_UPY '!J27</f>
        <v>87</v>
      </c>
      <c r="H28" s="382">
        <f>'enrolment vs availed_UPY'!Q27-'enrolment vs availed_UPY'!O27</f>
        <v>604034</v>
      </c>
      <c r="I28" s="299">
        <v>158</v>
      </c>
      <c r="J28" s="382">
        <f t="shared" si="3"/>
        <v>3823</v>
      </c>
    </row>
    <row r="29" spans="1:10">
      <c r="A29" s="204">
        <f t="shared" si="2"/>
        <v>18</v>
      </c>
      <c r="B29" s="204" t="s">
        <v>601</v>
      </c>
      <c r="C29" s="302">
        <v>267</v>
      </c>
      <c r="D29" s="302">
        <v>20188</v>
      </c>
      <c r="E29" s="546">
        <v>158</v>
      </c>
      <c r="F29" s="300">
        <f t="shared" si="0"/>
        <v>3189704</v>
      </c>
      <c r="G29" s="301">
        <f>'AT3B_cvrg(Insti)_UPY '!L28+'AT3C_cvrg(Insti)_UPY '!L28-'AT3B_cvrg(Insti)_UPY '!J28-'AT3C_cvrg(Insti)_UPY '!J28</f>
        <v>266</v>
      </c>
      <c r="H29" s="382">
        <f>'enrolment vs availed_UPY'!Q28-'enrolment vs availed_UPY'!O28</f>
        <v>2647764</v>
      </c>
      <c r="I29" s="299">
        <v>158</v>
      </c>
      <c r="J29" s="382">
        <f t="shared" si="3"/>
        <v>16758</v>
      </c>
    </row>
    <row r="30" spans="1:10">
      <c r="A30" s="204">
        <f t="shared" si="2"/>
        <v>19</v>
      </c>
      <c r="B30" s="204" t="s">
        <v>602</v>
      </c>
      <c r="C30" s="302">
        <v>403</v>
      </c>
      <c r="D30" s="302">
        <v>30306</v>
      </c>
      <c r="E30" s="546">
        <v>158</v>
      </c>
      <c r="F30" s="300">
        <f t="shared" si="0"/>
        <v>4788348</v>
      </c>
      <c r="G30" s="301">
        <f>'AT3B_cvrg(Insti)_UPY '!L29+'AT3C_cvrg(Insti)_UPY '!L29-'AT3B_cvrg(Insti)_UPY '!J29-'AT3C_cvrg(Insti)_UPY '!J29</f>
        <v>395</v>
      </c>
      <c r="H30" s="382">
        <f>'enrolment vs availed_UPY'!Q29-'enrolment vs availed_UPY'!O29</f>
        <v>4465870</v>
      </c>
      <c r="I30" s="299">
        <v>158</v>
      </c>
      <c r="J30" s="382">
        <f t="shared" si="3"/>
        <v>28265</v>
      </c>
    </row>
    <row r="31" spans="1:10" s="527" customFormat="1">
      <c r="A31" s="204">
        <f t="shared" si="2"/>
        <v>20</v>
      </c>
      <c r="B31" s="529" t="s">
        <v>683</v>
      </c>
      <c r="C31" s="302">
        <v>168</v>
      </c>
      <c r="D31" s="302">
        <v>17022</v>
      </c>
      <c r="E31" s="546">
        <v>158</v>
      </c>
      <c r="F31" s="300">
        <f t="shared" si="0"/>
        <v>2689476</v>
      </c>
      <c r="G31" s="301">
        <f>'AT3B_cvrg(Insti)_UPY '!L30+'AT3C_cvrg(Insti)_UPY '!L30-'AT3B_cvrg(Insti)_UPY '!J30-'AT3C_cvrg(Insti)_UPY '!J30</f>
        <v>168</v>
      </c>
      <c r="H31" s="382">
        <f>'enrolment vs availed_UPY'!Q30-'enrolment vs availed_UPY'!O30</f>
        <v>2544748</v>
      </c>
      <c r="I31" s="299">
        <v>158</v>
      </c>
      <c r="J31" s="382">
        <f t="shared" si="3"/>
        <v>16106</v>
      </c>
    </row>
    <row r="32" spans="1:10">
      <c r="A32" s="204">
        <f t="shared" si="2"/>
        <v>21</v>
      </c>
      <c r="B32" s="529" t="s">
        <v>628</v>
      </c>
      <c r="C32" s="302">
        <v>211</v>
      </c>
      <c r="D32" s="302">
        <v>14251</v>
      </c>
      <c r="E32" s="546">
        <v>158</v>
      </c>
      <c r="F32" s="300">
        <f t="shared" si="0"/>
        <v>2251658</v>
      </c>
      <c r="G32" s="301">
        <f>'AT3B_cvrg(Insti)_UPY '!L31+'AT3C_cvrg(Insti)_UPY '!L31-'AT3B_cvrg(Insti)_UPY '!J31-'AT3C_cvrg(Insti)_UPY '!J31</f>
        <v>212</v>
      </c>
      <c r="H32" s="382">
        <f>'enrolment vs availed_UPY'!Q31-'enrolment vs availed_UPY'!O31</f>
        <v>1928864</v>
      </c>
      <c r="I32" s="299">
        <v>158</v>
      </c>
      <c r="J32" s="382">
        <f t="shared" si="3"/>
        <v>12208</v>
      </c>
    </row>
    <row r="33" spans="1:10">
      <c r="A33" s="204">
        <f t="shared" si="2"/>
        <v>22</v>
      </c>
      <c r="B33" s="204" t="s">
        <v>603</v>
      </c>
      <c r="C33" s="302">
        <v>420</v>
      </c>
      <c r="D33" s="302">
        <v>30947</v>
      </c>
      <c r="E33" s="546">
        <v>158</v>
      </c>
      <c r="F33" s="300">
        <f t="shared" si="0"/>
        <v>4889626</v>
      </c>
      <c r="G33" s="301">
        <f>'AT3B_cvrg(Insti)_UPY '!L32+'AT3C_cvrg(Insti)_UPY '!L32-'AT3B_cvrg(Insti)_UPY '!J32-'AT3C_cvrg(Insti)_UPY '!J32</f>
        <v>417</v>
      </c>
      <c r="H33" s="382">
        <f>'enrolment vs availed_UPY'!Q32-'enrolment vs availed_UPY'!O32</f>
        <v>4410254</v>
      </c>
      <c r="I33" s="299">
        <v>158</v>
      </c>
      <c r="J33" s="382">
        <f t="shared" si="3"/>
        <v>27913</v>
      </c>
    </row>
    <row r="34" spans="1:10">
      <c r="A34" s="204">
        <f t="shared" si="2"/>
        <v>23</v>
      </c>
      <c r="B34" s="204" t="s">
        <v>604</v>
      </c>
      <c r="C34" s="302">
        <v>206</v>
      </c>
      <c r="D34" s="302">
        <v>11465</v>
      </c>
      <c r="E34" s="546">
        <v>158</v>
      </c>
      <c r="F34" s="300">
        <f t="shared" si="0"/>
        <v>1811470</v>
      </c>
      <c r="G34" s="301">
        <f>'AT3B_cvrg(Insti)_UPY '!L33+'AT3C_cvrg(Insti)_UPY '!L33-'AT3B_cvrg(Insti)_UPY '!J33-'AT3C_cvrg(Insti)_UPY '!J33</f>
        <v>199</v>
      </c>
      <c r="H34" s="382">
        <f>'enrolment vs availed_UPY'!Q33-'enrolment vs availed_UPY'!O33</f>
        <v>1542238</v>
      </c>
      <c r="I34" s="299">
        <v>158</v>
      </c>
      <c r="J34" s="382">
        <f t="shared" si="3"/>
        <v>9761</v>
      </c>
    </row>
    <row r="35" spans="1:10">
      <c r="A35" s="204">
        <f t="shared" si="2"/>
        <v>24</v>
      </c>
      <c r="B35" s="204" t="s">
        <v>605</v>
      </c>
      <c r="C35" s="302">
        <v>160</v>
      </c>
      <c r="D35" s="302">
        <v>9911</v>
      </c>
      <c r="E35" s="546">
        <v>158</v>
      </c>
      <c r="F35" s="300">
        <f t="shared" si="0"/>
        <v>1565938</v>
      </c>
      <c r="G35" s="301">
        <f>'AT3B_cvrg(Insti)_UPY '!L34+'AT3C_cvrg(Insti)_UPY '!L34-'AT3B_cvrg(Insti)_UPY '!J34-'AT3C_cvrg(Insti)_UPY '!J34</f>
        <v>159</v>
      </c>
      <c r="H35" s="382">
        <f>'enrolment vs availed_UPY'!Q34-'enrolment vs availed_UPY'!O34</f>
        <v>1417576</v>
      </c>
      <c r="I35" s="299">
        <v>158</v>
      </c>
      <c r="J35" s="382">
        <f t="shared" si="3"/>
        <v>8972</v>
      </c>
    </row>
    <row r="36" spans="1:10">
      <c r="A36" s="204">
        <f t="shared" si="2"/>
        <v>25</v>
      </c>
      <c r="B36" s="204" t="s">
        <v>606</v>
      </c>
      <c r="C36" s="302">
        <v>458</v>
      </c>
      <c r="D36" s="302">
        <v>45257</v>
      </c>
      <c r="E36" s="546">
        <v>158</v>
      </c>
      <c r="F36" s="300">
        <f t="shared" si="0"/>
        <v>7150606</v>
      </c>
      <c r="G36" s="301">
        <f>'AT3B_cvrg(Insti)_UPY '!L35+'AT3C_cvrg(Insti)_UPY '!L35-'AT3B_cvrg(Insti)_UPY '!J35-'AT3C_cvrg(Insti)_UPY '!J35</f>
        <v>452</v>
      </c>
      <c r="H36" s="382">
        <f>'enrolment vs availed_UPY'!Q35-'enrolment vs availed_UPY'!O35</f>
        <v>6269914</v>
      </c>
      <c r="I36" s="299">
        <v>158</v>
      </c>
      <c r="J36" s="382">
        <f t="shared" si="3"/>
        <v>39683</v>
      </c>
    </row>
    <row r="37" spans="1:10">
      <c r="A37" s="204">
        <f t="shared" si="2"/>
        <v>26</v>
      </c>
      <c r="B37" s="204" t="s">
        <v>607</v>
      </c>
      <c r="C37" s="302">
        <v>417</v>
      </c>
      <c r="D37" s="302">
        <v>33679</v>
      </c>
      <c r="E37" s="546">
        <v>158</v>
      </c>
      <c r="F37" s="300">
        <f t="shared" si="0"/>
        <v>5321282</v>
      </c>
      <c r="G37" s="301">
        <f>'AT3B_cvrg(Insti)_UPY '!L36+'AT3C_cvrg(Insti)_UPY '!L36-'AT3B_cvrg(Insti)_UPY '!J36-'AT3C_cvrg(Insti)_UPY '!J36</f>
        <v>414</v>
      </c>
      <c r="H37" s="382">
        <f>'enrolment vs availed_UPY'!Q36-'enrolment vs availed_UPY'!O36</f>
        <v>4893576</v>
      </c>
      <c r="I37" s="299">
        <v>158</v>
      </c>
      <c r="J37" s="382">
        <f t="shared" si="3"/>
        <v>30972</v>
      </c>
    </row>
    <row r="38" spans="1:10">
      <c r="A38" s="204">
        <f t="shared" si="2"/>
        <v>27</v>
      </c>
      <c r="B38" s="204" t="s">
        <v>608</v>
      </c>
      <c r="C38" s="302">
        <v>357</v>
      </c>
      <c r="D38" s="302">
        <v>25311</v>
      </c>
      <c r="E38" s="546">
        <v>158</v>
      </c>
      <c r="F38" s="300">
        <f t="shared" si="0"/>
        <v>3999138</v>
      </c>
      <c r="G38" s="301">
        <f>'AT3B_cvrg(Insti)_UPY '!L37+'AT3C_cvrg(Insti)_UPY '!L37-'AT3B_cvrg(Insti)_UPY '!J37-'AT3C_cvrg(Insti)_UPY '!J37</f>
        <v>356</v>
      </c>
      <c r="H38" s="382">
        <f>'enrolment vs availed_UPY'!Q37-'enrolment vs availed_UPY'!O37</f>
        <v>3738122</v>
      </c>
      <c r="I38" s="299">
        <v>158</v>
      </c>
      <c r="J38" s="382">
        <f t="shared" si="3"/>
        <v>23659</v>
      </c>
    </row>
    <row r="39" spans="1:10">
      <c r="A39" s="204">
        <f t="shared" si="2"/>
        <v>28</v>
      </c>
      <c r="B39" s="204" t="s">
        <v>609</v>
      </c>
      <c r="C39" s="302">
        <v>281</v>
      </c>
      <c r="D39" s="302">
        <v>18104</v>
      </c>
      <c r="E39" s="546">
        <v>158</v>
      </c>
      <c r="F39" s="300">
        <f t="shared" si="0"/>
        <v>2860432</v>
      </c>
      <c r="G39" s="301">
        <f>'AT3B_cvrg(Insti)_UPY '!L38+'AT3C_cvrg(Insti)_UPY '!L38-'AT3B_cvrg(Insti)_UPY '!J38-'AT3C_cvrg(Insti)_UPY '!J38</f>
        <v>279</v>
      </c>
      <c r="H39" s="382">
        <f>'enrolment vs availed_UPY'!Q38-'enrolment vs availed_UPY'!O38</f>
        <v>2397808</v>
      </c>
      <c r="I39" s="299">
        <v>158</v>
      </c>
      <c r="J39" s="382">
        <f t="shared" si="3"/>
        <v>15176</v>
      </c>
    </row>
    <row r="40" spans="1:10">
      <c r="A40" s="204">
        <f t="shared" si="2"/>
        <v>29</v>
      </c>
      <c r="B40" s="204" t="s">
        <v>610</v>
      </c>
      <c r="C40" s="302">
        <v>301</v>
      </c>
      <c r="D40" s="302">
        <v>27393</v>
      </c>
      <c r="E40" s="546">
        <v>158</v>
      </c>
      <c r="F40" s="300">
        <f t="shared" si="0"/>
        <v>4328094</v>
      </c>
      <c r="G40" s="301">
        <f>'AT3B_cvrg(Insti)_UPY '!L39+'AT3C_cvrg(Insti)_UPY '!L39-'AT3B_cvrg(Insti)_UPY '!J39-'AT3C_cvrg(Insti)_UPY '!J39</f>
        <v>301</v>
      </c>
      <c r="H40" s="382">
        <f>'enrolment vs availed_UPY'!Q39-'enrolment vs availed_UPY'!O39</f>
        <v>3780150</v>
      </c>
      <c r="I40" s="299">
        <v>158</v>
      </c>
      <c r="J40" s="382">
        <f t="shared" si="3"/>
        <v>23925</v>
      </c>
    </row>
    <row r="41" spans="1:10">
      <c r="A41" s="204">
        <f t="shared" si="2"/>
        <v>30</v>
      </c>
      <c r="B41" s="502" t="s">
        <v>611</v>
      </c>
      <c r="C41" s="302">
        <v>163</v>
      </c>
      <c r="D41" s="302">
        <v>14114</v>
      </c>
      <c r="E41" s="546">
        <v>158</v>
      </c>
      <c r="F41" s="300">
        <f t="shared" si="0"/>
        <v>2230012</v>
      </c>
      <c r="G41" s="301">
        <f>'AT3B_cvrg(Insti)_UPY '!L40+'AT3C_cvrg(Insti)_UPY '!L40-'AT3B_cvrg(Insti)_UPY '!J40-'AT3C_cvrg(Insti)_UPY '!J40</f>
        <v>163</v>
      </c>
      <c r="H41" s="382">
        <f>'enrolment vs availed_UPY'!Q40-'enrolment vs availed_UPY'!O40</f>
        <v>1882886</v>
      </c>
      <c r="I41" s="299">
        <v>158</v>
      </c>
      <c r="J41" s="382">
        <f t="shared" si="3"/>
        <v>11917</v>
      </c>
    </row>
    <row r="42" spans="1:10">
      <c r="A42" s="204">
        <f t="shared" si="2"/>
        <v>31</v>
      </c>
      <c r="B42" s="502" t="s">
        <v>612</v>
      </c>
      <c r="C42" s="302">
        <v>224</v>
      </c>
      <c r="D42" s="302">
        <v>10218</v>
      </c>
      <c r="E42" s="546">
        <v>158</v>
      </c>
      <c r="F42" s="300">
        <f t="shared" si="0"/>
        <v>1614444</v>
      </c>
      <c r="G42" s="301">
        <f>'AT3B_cvrg(Insti)_UPY '!L41+'AT3C_cvrg(Insti)_UPY '!L41-'AT3B_cvrg(Insti)_UPY '!J41-'AT3C_cvrg(Insti)_UPY '!J41</f>
        <v>221</v>
      </c>
      <c r="H42" s="382">
        <f>'enrolment vs availed_UPY'!Q41-'enrolment vs availed_UPY'!O41</f>
        <v>1442856</v>
      </c>
      <c r="I42" s="299">
        <v>158</v>
      </c>
      <c r="J42" s="382">
        <f t="shared" si="3"/>
        <v>9132</v>
      </c>
    </row>
    <row r="43" spans="1:10">
      <c r="A43" s="204">
        <f t="shared" si="2"/>
        <v>32</v>
      </c>
      <c r="B43" s="502" t="s">
        <v>613</v>
      </c>
      <c r="C43" s="302">
        <v>219</v>
      </c>
      <c r="D43" s="302">
        <v>13421</v>
      </c>
      <c r="E43" s="546">
        <v>158</v>
      </c>
      <c r="F43" s="300">
        <f t="shared" si="0"/>
        <v>2120518</v>
      </c>
      <c r="G43" s="301">
        <f>'AT3B_cvrg(Insti)_UPY '!L42+'AT3C_cvrg(Insti)_UPY '!L42-'AT3B_cvrg(Insti)_UPY '!J42-'AT3C_cvrg(Insti)_UPY '!J42</f>
        <v>200</v>
      </c>
      <c r="H43" s="382">
        <f>'enrolment vs availed_UPY'!Q42-'enrolment vs availed_UPY'!O42</f>
        <v>1893788</v>
      </c>
      <c r="I43" s="299">
        <v>158</v>
      </c>
      <c r="J43" s="382">
        <f t="shared" si="3"/>
        <v>11986</v>
      </c>
    </row>
    <row r="44" spans="1:10">
      <c r="A44" s="204">
        <f t="shared" si="2"/>
        <v>33</v>
      </c>
      <c r="B44" s="502" t="s">
        <v>614</v>
      </c>
      <c r="C44" s="302">
        <v>229</v>
      </c>
      <c r="D44" s="302">
        <v>15648</v>
      </c>
      <c r="E44" s="546">
        <v>158</v>
      </c>
      <c r="F44" s="300">
        <f t="shared" si="0"/>
        <v>2472384</v>
      </c>
      <c r="G44" s="301">
        <f>'AT3B_cvrg(Insti)_UPY '!L43+'AT3C_cvrg(Insti)_UPY '!L43-'AT3B_cvrg(Insti)_UPY '!J43-'AT3C_cvrg(Insti)_UPY '!J43</f>
        <v>224</v>
      </c>
      <c r="H44" s="382">
        <f>'enrolment vs availed_UPY'!Q43-'enrolment vs availed_UPY'!O43</f>
        <v>2089234</v>
      </c>
      <c r="I44" s="299">
        <v>158</v>
      </c>
      <c r="J44" s="382">
        <f t="shared" si="3"/>
        <v>13223</v>
      </c>
    </row>
    <row r="45" spans="1:10">
      <c r="A45" s="151"/>
      <c r="B45" s="151" t="s">
        <v>615</v>
      </c>
      <c r="C45" s="494">
        <f>SUM(C12:C44)</f>
        <v>8518</v>
      </c>
      <c r="D45" s="494">
        <f t="shared" ref="D45:J45" si="4">SUM(D12:D44)</f>
        <v>654000</v>
      </c>
      <c r="E45" s="494">
        <v>158</v>
      </c>
      <c r="F45" s="494">
        <f t="shared" si="4"/>
        <v>103332000</v>
      </c>
      <c r="G45" s="494">
        <f t="shared" si="4"/>
        <v>8357</v>
      </c>
      <c r="H45" s="494">
        <f t="shared" si="4"/>
        <v>90389272</v>
      </c>
      <c r="I45" s="17">
        <v>158</v>
      </c>
      <c r="J45" s="362">
        <f t="shared" si="4"/>
        <v>572084</v>
      </c>
    </row>
    <row r="46" spans="1:10">
      <c r="A46" s="3"/>
      <c r="B46" s="18"/>
      <c r="C46" s="18"/>
      <c r="D46" s="364"/>
      <c r="E46" s="10"/>
      <c r="F46" s="10"/>
      <c r="G46" s="10"/>
      <c r="H46" s="10"/>
      <c r="I46" s="10"/>
      <c r="J46" s="10"/>
    </row>
    <row r="47" spans="1:10">
      <c r="A47" s="422" t="s">
        <v>682</v>
      </c>
      <c r="B47" s="18"/>
      <c r="C47" s="18"/>
      <c r="D47" s="10"/>
      <c r="E47" s="10"/>
      <c r="F47" s="10"/>
      <c r="G47" s="10"/>
      <c r="H47" s="10"/>
      <c r="I47" s="10"/>
      <c r="J47" s="10"/>
    </row>
    <row r="48" spans="1:10">
      <c r="A48" s="377"/>
      <c r="B48" s="377"/>
      <c r="C48" s="377"/>
      <c r="D48" s="377"/>
      <c r="E48" s="377"/>
      <c r="F48" s="377"/>
      <c r="G48" s="377"/>
      <c r="H48" s="377"/>
      <c r="I48" s="377"/>
      <c r="J48" s="377"/>
    </row>
    <row r="49" spans="7:10" ht="15.75">
      <c r="G49" s="761" t="s">
        <v>908</v>
      </c>
      <c r="H49" s="761"/>
      <c r="I49" s="761"/>
      <c r="J49" s="761"/>
    </row>
    <row r="50" spans="7:10" ht="15.75">
      <c r="G50" s="761" t="s">
        <v>646</v>
      </c>
      <c r="H50" s="761"/>
      <c r="I50" s="761"/>
      <c r="J50" s="761"/>
    </row>
  </sheetData>
  <mergeCells count="12">
    <mergeCell ref="G49:J49"/>
    <mergeCell ref="G50:J50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</mergeCells>
  <printOptions horizontalCentered="1"/>
  <pageMargins left="0.35" right="0.49" top="0.53" bottom="0" header="0.31496062992125984" footer="0.31496062992125984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90" zoomScaleNormal="70" zoomScaleSheetLayoutView="90" workbookViewId="0"/>
  </sheetViews>
  <sheetFormatPr defaultColWidth="9.140625" defaultRowHeight="12.75"/>
  <cols>
    <col min="1" max="1" width="7.42578125" style="173" customWidth="1"/>
    <col min="2" max="2" width="20" style="173" customWidth="1"/>
    <col min="3" max="3" width="11" style="173" customWidth="1"/>
    <col min="4" max="4" width="10" style="173" customWidth="1"/>
    <col min="5" max="5" width="13.140625" style="173" customWidth="1"/>
    <col min="6" max="6" width="14.28515625" style="173" customWidth="1"/>
    <col min="7" max="7" width="13.28515625" style="173" customWidth="1"/>
    <col min="8" max="8" width="14.7109375" style="173" customWidth="1"/>
    <col min="9" max="9" width="16.7109375" style="173" customWidth="1"/>
    <col min="10" max="10" width="19.28515625" style="173" customWidth="1"/>
    <col min="11" max="16384" width="9.140625" style="173"/>
  </cols>
  <sheetData>
    <row r="1" spans="1:16">
      <c r="E1" s="700"/>
      <c r="F1" s="700"/>
      <c r="G1" s="700"/>
      <c r="H1" s="700"/>
      <c r="I1" s="700"/>
      <c r="J1" s="458" t="s">
        <v>353</v>
      </c>
    </row>
    <row r="2" spans="1:16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6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6" ht="14.25" customHeight="1"/>
    <row r="5" spans="1:16" ht="19.5" customHeight="1">
      <c r="A5" s="805" t="s">
        <v>757</v>
      </c>
      <c r="B5" s="805"/>
      <c r="C5" s="805"/>
      <c r="D5" s="805"/>
      <c r="E5" s="805"/>
      <c r="F5" s="805"/>
      <c r="G5" s="805"/>
      <c r="H5" s="805"/>
      <c r="I5" s="805"/>
      <c r="J5" s="805"/>
    </row>
    <row r="6" spans="1:16" ht="13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6" ht="12" customHeight="1">
      <c r="A7" s="5" t="s">
        <v>659</v>
      </c>
    </row>
    <row r="8" spans="1:16">
      <c r="A8" s="699"/>
      <c r="B8" s="699"/>
      <c r="C8" s="141"/>
      <c r="H8" s="793" t="s">
        <v>774</v>
      </c>
      <c r="I8" s="793"/>
      <c r="J8" s="793"/>
    </row>
    <row r="9" spans="1:16">
      <c r="A9" s="668" t="s">
        <v>2</v>
      </c>
      <c r="B9" s="668" t="s">
        <v>3</v>
      </c>
      <c r="C9" s="681" t="s">
        <v>758</v>
      </c>
      <c r="D9" s="743"/>
      <c r="E9" s="743"/>
      <c r="F9" s="682"/>
      <c r="G9" s="681" t="s">
        <v>98</v>
      </c>
      <c r="H9" s="743"/>
      <c r="I9" s="743"/>
      <c r="J9" s="682"/>
      <c r="O9" s="8"/>
      <c r="P9" s="10"/>
    </row>
    <row r="10" spans="1:16" ht="77.45" customHeight="1">
      <c r="A10" s="668"/>
      <c r="B10" s="668"/>
      <c r="C10" s="150" t="s">
        <v>180</v>
      </c>
      <c r="D10" s="150" t="s">
        <v>14</v>
      </c>
      <c r="E10" s="121" t="s">
        <v>859</v>
      </c>
      <c r="F10" s="152" t="s">
        <v>197</v>
      </c>
      <c r="G10" s="150" t="s">
        <v>180</v>
      </c>
      <c r="H10" s="179" t="s">
        <v>15</v>
      </c>
      <c r="I10" s="178" t="s">
        <v>106</v>
      </c>
      <c r="J10" s="150" t="s">
        <v>198</v>
      </c>
    </row>
    <row r="11" spans="1:16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2">
        <v>6</v>
      </c>
      <c r="G11" s="150">
        <v>7</v>
      </c>
      <c r="H11" s="153">
        <v>8</v>
      </c>
      <c r="I11" s="150">
        <v>9</v>
      </c>
      <c r="J11" s="150">
        <v>10</v>
      </c>
    </row>
    <row r="12" spans="1:16">
      <c r="A12" s="204">
        <v>1</v>
      </c>
      <c r="B12" s="204" t="s">
        <v>624</v>
      </c>
      <c r="C12" s="301">
        <v>0</v>
      </c>
      <c r="D12" s="301">
        <v>0</v>
      </c>
      <c r="E12" s="301">
        <v>214</v>
      </c>
      <c r="F12" s="300">
        <f>D12*E12</f>
        <v>0</v>
      </c>
      <c r="G12" s="301">
        <f>'AT3A_cvrg(Insti)_PY'!J12+'AT3B_cvrg(Insti)_UPY '!J11+'AT3C_cvrg(Insti)_UPY '!J11</f>
        <v>0</v>
      </c>
      <c r="H12" s="430">
        <f>'enrolment vs availed_UPY'!O11</f>
        <v>0</v>
      </c>
      <c r="I12" s="298">
        <v>214</v>
      </c>
      <c r="J12" s="298">
        <f>H12/I12</f>
        <v>0</v>
      </c>
    </row>
    <row r="13" spans="1:16">
      <c r="A13" s="204">
        <f>A12+1</f>
        <v>2</v>
      </c>
      <c r="B13" s="204" t="s">
        <v>589</v>
      </c>
      <c r="C13" s="301">
        <v>14</v>
      </c>
      <c r="D13" s="301">
        <v>399</v>
      </c>
      <c r="E13" s="301">
        <v>214</v>
      </c>
      <c r="F13" s="300">
        <f t="shared" ref="F13:F44" si="0">D13*E13</f>
        <v>85386</v>
      </c>
      <c r="G13" s="301">
        <f>'AT3A_cvrg(Insti)_PY'!J13+'AT3B_cvrg(Insti)_UPY '!J12+'AT3C_cvrg(Insti)_UPY '!J12</f>
        <v>14</v>
      </c>
      <c r="H13" s="430">
        <f>'enrolment vs availed_UPY'!O12</f>
        <v>78324</v>
      </c>
      <c r="I13" s="298">
        <v>214</v>
      </c>
      <c r="J13" s="298">
        <f t="shared" ref="J13:J44" si="1">H13/I13</f>
        <v>366</v>
      </c>
    </row>
    <row r="14" spans="1:16">
      <c r="A14" s="204">
        <f t="shared" ref="A14:A44" si="2">A13+1</f>
        <v>3</v>
      </c>
      <c r="B14" s="204" t="s">
        <v>625</v>
      </c>
      <c r="C14" s="301">
        <v>0</v>
      </c>
      <c r="D14" s="301">
        <v>0</v>
      </c>
      <c r="E14" s="301">
        <v>214</v>
      </c>
      <c r="F14" s="300">
        <f t="shared" si="0"/>
        <v>0</v>
      </c>
      <c r="G14" s="301">
        <f>'AT3A_cvrg(Insti)_PY'!J14+'AT3B_cvrg(Insti)_UPY '!J13+'AT3C_cvrg(Insti)_UPY '!J13</f>
        <v>0</v>
      </c>
      <c r="H14" s="430">
        <f>'enrolment vs availed_UPY'!O13</f>
        <v>0</v>
      </c>
      <c r="I14" s="298">
        <v>214</v>
      </c>
      <c r="J14" s="298">
        <f t="shared" si="1"/>
        <v>0</v>
      </c>
    </row>
    <row r="15" spans="1:16">
      <c r="A15" s="204">
        <f t="shared" si="2"/>
        <v>4</v>
      </c>
      <c r="B15" s="204" t="s">
        <v>590</v>
      </c>
      <c r="C15" s="301">
        <v>0</v>
      </c>
      <c r="D15" s="301">
        <v>0</v>
      </c>
      <c r="E15" s="301">
        <v>214</v>
      </c>
      <c r="F15" s="300">
        <f t="shared" si="0"/>
        <v>0</v>
      </c>
      <c r="G15" s="301">
        <f>'AT3A_cvrg(Insti)_PY'!J15+'AT3B_cvrg(Insti)_UPY '!J14+'AT3C_cvrg(Insti)_UPY '!J14</f>
        <v>0</v>
      </c>
      <c r="H15" s="430">
        <f>'enrolment vs availed_UPY'!O14</f>
        <v>0</v>
      </c>
      <c r="I15" s="298">
        <v>214</v>
      </c>
      <c r="J15" s="298">
        <f t="shared" si="1"/>
        <v>0</v>
      </c>
    </row>
    <row r="16" spans="1:16">
      <c r="A16" s="204">
        <f t="shared" si="2"/>
        <v>5</v>
      </c>
      <c r="B16" s="204" t="s">
        <v>591</v>
      </c>
      <c r="C16" s="301">
        <v>0</v>
      </c>
      <c r="D16" s="301">
        <v>0</v>
      </c>
      <c r="E16" s="301">
        <v>214</v>
      </c>
      <c r="F16" s="300">
        <f t="shared" si="0"/>
        <v>0</v>
      </c>
      <c r="G16" s="301">
        <f>'AT3A_cvrg(Insti)_PY'!J16+'AT3B_cvrg(Insti)_UPY '!J15+'AT3C_cvrg(Insti)_UPY '!J15</f>
        <v>0</v>
      </c>
      <c r="H16" s="430">
        <f>'enrolment vs availed_UPY'!O15</f>
        <v>0</v>
      </c>
      <c r="I16" s="298">
        <v>214</v>
      </c>
      <c r="J16" s="298">
        <f t="shared" si="1"/>
        <v>0</v>
      </c>
    </row>
    <row r="17" spans="1:10">
      <c r="A17" s="204">
        <f t="shared" si="2"/>
        <v>6</v>
      </c>
      <c r="B17" s="204" t="s">
        <v>592</v>
      </c>
      <c r="C17" s="301">
        <v>0</v>
      </c>
      <c r="D17" s="301">
        <v>0</v>
      </c>
      <c r="E17" s="301">
        <v>214</v>
      </c>
      <c r="F17" s="300">
        <f t="shared" si="0"/>
        <v>0</v>
      </c>
      <c r="G17" s="301">
        <f>'AT3A_cvrg(Insti)_PY'!J17+'AT3B_cvrg(Insti)_UPY '!J16+'AT3C_cvrg(Insti)_UPY '!J16</f>
        <v>0</v>
      </c>
      <c r="H17" s="430">
        <f>'enrolment vs availed_UPY'!O16</f>
        <v>0</v>
      </c>
      <c r="I17" s="298">
        <v>214</v>
      </c>
      <c r="J17" s="298">
        <f t="shared" si="1"/>
        <v>0</v>
      </c>
    </row>
    <row r="18" spans="1:10">
      <c r="A18" s="204">
        <f t="shared" si="2"/>
        <v>7</v>
      </c>
      <c r="B18" s="204" t="s">
        <v>593</v>
      </c>
      <c r="C18" s="301">
        <v>0</v>
      </c>
      <c r="D18" s="301">
        <v>0</v>
      </c>
      <c r="E18" s="301">
        <v>214</v>
      </c>
      <c r="F18" s="300">
        <f t="shared" si="0"/>
        <v>0</v>
      </c>
      <c r="G18" s="301">
        <f>'AT3A_cvrg(Insti)_PY'!J18+'AT3B_cvrg(Insti)_UPY '!J17+'AT3C_cvrg(Insti)_UPY '!J17</f>
        <v>0</v>
      </c>
      <c r="H18" s="430">
        <f>'enrolment vs availed_UPY'!O17</f>
        <v>0</v>
      </c>
      <c r="I18" s="298">
        <v>214</v>
      </c>
      <c r="J18" s="298">
        <f t="shared" si="1"/>
        <v>0</v>
      </c>
    </row>
    <row r="19" spans="1:10">
      <c r="A19" s="204">
        <f t="shared" si="2"/>
        <v>8</v>
      </c>
      <c r="B19" s="204" t="s">
        <v>594</v>
      </c>
      <c r="C19" s="301">
        <v>7</v>
      </c>
      <c r="D19" s="301">
        <v>209</v>
      </c>
      <c r="E19" s="301">
        <v>214</v>
      </c>
      <c r="F19" s="300">
        <f t="shared" si="0"/>
        <v>44726</v>
      </c>
      <c r="G19" s="301">
        <f>'AT3A_cvrg(Insti)_PY'!J19+'AT3B_cvrg(Insti)_UPY '!J18+'AT3C_cvrg(Insti)_UPY '!J18</f>
        <v>7</v>
      </c>
      <c r="H19" s="430">
        <f>'enrolment vs availed_UPY'!O18</f>
        <v>38948</v>
      </c>
      <c r="I19" s="298">
        <v>214</v>
      </c>
      <c r="J19" s="298">
        <f t="shared" si="1"/>
        <v>182</v>
      </c>
    </row>
    <row r="20" spans="1:10">
      <c r="A20" s="204">
        <f t="shared" si="2"/>
        <v>9</v>
      </c>
      <c r="B20" s="204" t="s">
        <v>595</v>
      </c>
      <c r="C20" s="301">
        <v>0</v>
      </c>
      <c r="D20" s="301">
        <v>0</v>
      </c>
      <c r="E20" s="301">
        <v>214</v>
      </c>
      <c r="F20" s="300">
        <f t="shared" si="0"/>
        <v>0</v>
      </c>
      <c r="G20" s="301">
        <f>'AT3A_cvrg(Insti)_PY'!J20+'AT3B_cvrg(Insti)_UPY '!J19+'AT3C_cvrg(Insti)_UPY '!J19</f>
        <v>0</v>
      </c>
      <c r="H20" s="430">
        <f>'enrolment vs availed_UPY'!O19</f>
        <v>0</v>
      </c>
      <c r="I20" s="298">
        <v>214</v>
      </c>
      <c r="J20" s="298">
        <f t="shared" si="1"/>
        <v>0</v>
      </c>
    </row>
    <row r="21" spans="1:10">
      <c r="A21" s="204">
        <f t="shared" si="2"/>
        <v>10</v>
      </c>
      <c r="B21" s="204" t="s">
        <v>596</v>
      </c>
      <c r="C21" s="301">
        <v>4</v>
      </c>
      <c r="D21" s="301">
        <v>205</v>
      </c>
      <c r="E21" s="301">
        <v>214</v>
      </c>
      <c r="F21" s="300">
        <f t="shared" si="0"/>
        <v>43870</v>
      </c>
      <c r="G21" s="301">
        <f>'AT3A_cvrg(Insti)_PY'!J21+'AT3B_cvrg(Insti)_UPY '!J20+'AT3C_cvrg(Insti)_UPY '!J20</f>
        <v>4</v>
      </c>
      <c r="H21" s="430">
        <f>'enrolment vs availed_UPY'!O20</f>
        <v>40446</v>
      </c>
      <c r="I21" s="298">
        <v>214</v>
      </c>
      <c r="J21" s="298">
        <f t="shared" si="1"/>
        <v>189</v>
      </c>
    </row>
    <row r="22" spans="1:10">
      <c r="A22" s="204">
        <f t="shared" si="2"/>
        <v>11</v>
      </c>
      <c r="B22" s="204" t="s">
        <v>626</v>
      </c>
      <c r="C22" s="301">
        <v>0</v>
      </c>
      <c r="D22" s="301">
        <v>0</v>
      </c>
      <c r="E22" s="301">
        <v>214</v>
      </c>
      <c r="F22" s="300">
        <f t="shared" si="0"/>
        <v>0</v>
      </c>
      <c r="G22" s="301">
        <f>'AT3A_cvrg(Insti)_PY'!J22+'AT3B_cvrg(Insti)_UPY '!J21+'AT3C_cvrg(Insti)_UPY '!J21</f>
        <v>0</v>
      </c>
      <c r="H22" s="430">
        <f>'enrolment vs availed_UPY'!O21</f>
        <v>0</v>
      </c>
      <c r="I22" s="298">
        <v>214</v>
      </c>
      <c r="J22" s="298">
        <f t="shared" si="1"/>
        <v>0</v>
      </c>
    </row>
    <row r="23" spans="1:10">
      <c r="A23" s="204">
        <f t="shared" si="2"/>
        <v>12</v>
      </c>
      <c r="B23" s="204" t="s">
        <v>597</v>
      </c>
      <c r="C23" s="301">
        <v>5</v>
      </c>
      <c r="D23" s="301">
        <v>185</v>
      </c>
      <c r="E23" s="301">
        <v>214</v>
      </c>
      <c r="F23" s="300">
        <f t="shared" si="0"/>
        <v>39590</v>
      </c>
      <c r="G23" s="301">
        <f>'AT3A_cvrg(Insti)_PY'!J23+'AT3B_cvrg(Insti)_UPY '!J22+'AT3C_cvrg(Insti)_UPY '!J22</f>
        <v>5</v>
      </c>
      <c r="H23" s="430">
        <f>'enrolment vs availed_UPY'!O22</f>
        <v>32742</v>
      </c>
      <c r="I23" s="298">
        <v>214</v>
      </c>
      <c r="J23" s="298">
        <f t="shared" si="1"/>
        <v>153</v>
      </c>
    </row>
    <row r="24" spans="1:10">
      <c r="A24" s="204">
        <f t="shared" si="2"/>
        <v>13</v>
      </c>
      <c r="B24" s="204" t="s">
        <v>598</v>
      </c>
      <c r="C24" s="301">
        <v>1</v>
      </c>
      <c r="D24" s="301">
        <v>355</v>
      </c>
      <c r="E24" s="301">
        <v>214</v>
      </c>
      <c r="F24" s="300">
        <f t="shared" si="0"/>
        <v>75970</v>
      </c>
      <c r="G24" s="301">
        <f>'AT3A_cvrg(Insti)_PY'!J24+'AT3B_cvrg(Insti)_UPY '!J23+'AT3C_cvrg(Insti)_UPY '!J23</f>
        <v>1</v>
      </c>
      <c r="H24" s="430">
        <f>'enrolment vs availed_UPY'!O23</f>
        <v>6206</v>
      </c>
      <c r="I24" s="298">
        <v>214</v>
      </c>
      <c r="J24" s="298">
        <f t="shared" si="1"/>
        <v>29</v>
      </c>
    </row>
    <row r="25" spans="1:10">
      <c r="A25" s="204">
        <f t="shared" si="2"/>
        <v>14</v>
      </c>
      <c r="B25" s="204" t="s">
        <v>627</v>
      </c>
      <c r="C25" s="301">
        <v>3</v>
      </c>
      <c r="D25" s="301">
        <v>0</v>
      </c>
      <c r="E25" s="301">
        <v>214</v>
      </c>
      <c r="F25" s="300">
        <f t="shared" si="0"/>
        <v>0</v>
      </c>
      <c r="G25" s="301">
        <f>'AT3A_cvrg(Insti)_PY'!J25+'AT3B_cvrg(Insti)_UPY '!J24+'AT3C_cvrg(Insti)_UPY '!J24</f>
        <v>0</v>
      </c>
      <c r="H25" s="430">
        <f>'enrolment vs availed_UPY'!O24</f>
        <v>0</v>
      </c>
      <c r="I25" s="298">
        <v>214</v>
      </c>
      <c r="J25" s="298">
        <f t="shared" si="1"/>
        <v>0</v>
      </c>
    </row>
    <row r="26" spans="1:10">
      <c r="A26" s="204">
        <f t="shared" si="2"/>
        <v>15</v>
      </c>
      <c r="B26" s="204" t="s">
        <v>599</v>
      </c>
      <c r="C26" s="301">
        <v>0</v>
      </c>
      <c r="D26" s="301">
        <v>0</v>
      </c>
      <c r="E26" s="301">
        <v>214</v>
      </c>
      <c r="F26" s="300">
        <f t="shared" si="0"/>
        <v>0</v>
      </c>
      <c r="G26" s="301">
        <f>'AT3A_cvrg(Insti)_PY'!J26+'AT3B_cvrg(Insti)_UPY '!J25+'AT3C_cvrg(Insti)_UPY '!J25</f>
        <v>0</v>
      </c>
      <c r="H26" s="430">
        <f>'enrolment vs availed_UPY'!O25</f>
        <v>0</v>
      </c>
      <c r="I26" s="298">
        <v>214</v>
      </c>
      <c r="J26" s="298">
        <f t="shared" si="1"/>
        <v>0</v>
      </c>
    </row>
    <row r="27" spans="1:10">
      <c r="A27" s="204">
        <f t="shared" si="2"/>
        <v>16</v>
      </c>
      <c r="B27" s="204" t="s">
        <v>600</v>
      </c>
      <c r="C27" s="301">
        <v>0</v>
      </c>
      <c r="D27" s="301">
        <v>0</v>
      </c>
      <c r="E27" s="301">
        <v>214</v>
      </c>
      <c r="F27" s="300">
        <f t="shared" si="0"/>
        <v>0</v>
      </c>
      <c r="G27" s="301">
        <f>'AT3A_cvrg(Insti)_PY'!J27+'AT3B_cvrg(Insti)_UPY '!J26+'AT3C_cvrg(Insti)_UPY '!J26</f>
        <v>0</v>
      </c>
      <c r="H27" s="430">
        <f>'enrolment vs availed_UPY'!O26</f>
        <v>0</v>
      </c>
      <c r="I27" s="298">
        <v>214</v>
      </c>
      <c r="J27" s="298">
        <f t="shared" si="1"/>
        <v>0</v>
      </c>
    </row>
    <row r="28" spans="1:10" s="527" customFormat="1">
      <c r="A28" s="204">
        <f t="shared" si="2"/>
        <v>17</v>
      </c>
      <c r="B28" s="529" t="s">
        <v>684</v>
      </c>
      <c r="C28" s="301">
        <v>1</v>
      </c>
      <c r="D28" s="301">
        <v>38</v>
      </c>
      <c r="E28" s="301">
        <v>214</v>
      </c>
      <c r="F28" s="300">
        <f t="shared" si="0"/>
        <v>8132</v>
      </c>
      <c r="G28" s="301">
        <f>'AT3A_cvrg(Insti)_PY'!J28+'AT3B_cvrg(Insti)_UPY '!J27+'AT3C_cvrg(Insti)_UPY '!J27</f>
        <v>1</v>
      </c>
      <c r="H28" s="430">
        <f>'enrolment vs availed_UPY'!O27</f>
        <v>8346</v>
      </c>
      <c r="I28" s="298">
        <v>214</v>
      </c>
      <c r="J28" s="298">
        <f t="shared" si="1"/>
        <v>39</v>
      </c>
    </row>
    <row r="29" spans="1:10">
      <c r="A29" s="204">
        <f t="shared" si="2"/>
        <v>18</v>
      </c>
      <c r="B29" s="204" t="s">
        <v>601</v>
      </c>
      <c r="C29" s="302">
        <v>1</v>
      </c>
      <c r="D29" s="302">
        <v>25</v>
      </c>
      <c r="E29" s="301">
        <v>214</v>
      </c>
      <c r="F29" s="300">
        <f t="shared" si="0"/>
        <v>5350</v>
      </c>
      <c r="G29" s="301">
        <f>'AT3A_cvrg(Insti)_PY'!J29+'AT3B_cvrg(Insti)_UPY '!J28+'AT3C_cvrg(Insti)_UPY '!J28</f>
        <v>1</v>
      </c>
      <c r="H29" s="430">
        <f>'enrolment vs availed_UPY'!O28</f>
        <v>2354</v>
      </c>
      <c r="I29" s="298">
        <v>214</v>
      </c>
      <c r="J29" s="298">
        <f t="shared" si="1"/>
        <v>11</v>
      </c>
    </row>
    <row r="30" spans="1:10">
      <c r="A30" s="204">
        <f t="shared" si="2"/>
        <v>19</v>
      </c>
      <c r="B30" s="204" t="s">
        <v>602</v>
      </c>
      <c r="C30" s="302">
        <v>0</v>
      </c>
      <c r="D30" s="302">
        <v>0</v>
      </c>
      <c r="E30" s="301">
        <v>214</v>
      </c>
      <c r="F30" s="300">
        <f t="shared" si="0"/>
        <v>0</v>
      </c>
      <c r="G30" s="301">
        <f>'AT3A_cvrg(Insti)_PY'!J30+'AT3B_cvrg(Insti)_UPY '!J29+'AT3C_cvrg(Insti)_UPY '!J29</f>
        <v>0</v>
      </c>
      <c r="H30" s="430">
        <f>'enrolment vs availed_UPY'!O29</f>
        <v>0</v>
      </c>
      <c r="I30" s="298">
        <v>214</v>
      </c>
      <c r="J30" s="298">
        <f t="shared" si="1"/>
        <v>0</v>
      </c>
    </row>
    <row r="31" spans="1:10" s="527" customFormat="1">
      <c r="A31" s="204">
        <f t="shared" si="2"/>
        <v>20</v>
      </c>
      <c r="B31" s="529" t="s">
        <v>683</v>
      </c>
      <c r="C31" s="302">
        <v>0</v>
      </c>
      <c r="D31" s="302">
        <v>0</v>
      </c>
      <c r="E31" s="301">
        <v>214</v>
      </c>
      <c r="F31" s="300">
        <f t="shared" si="0"/>
        <v>0</v>
      </c>
      <c r="G31" s="301">
        <f>'AT3A_cvrg(Insti)_PY'!J31+'AT3B_cvrg(Insti)_UPY '!J30+'AT3C_cvrg(Insti)_UPY '!J30</f>
        <v>0</v>
      </c>
      <c r="H31" s="430">
        <f>'enrolment vs availed_UPY'!O30</f>
        <v>0</v>
      </c>
      <c r="I31" s="298">
        <v>214</v>
      </c>
      <c r="J31" s="298">
        <f t="shared" si="1"/>
        <v>0</v>
      </c>
    </row>
    <row r="32" spans="1:10">
      <c r="A32" s="204">
        <f t="shared" si="2"/>
        <v>21</v>
      </c>
      <c r="B32" s="529" t="s">
        <v>628</v>
      </c>
      <c r="C32" s="302">
        <v>0</v>
      </c>
      <c r="D32" s="302">
        <v>0</v>
      </c>
      <c r="E32" s="301">
        <v>214</v>
      </c>
      <c r="F32" s="300">
        <f t="shared" si="0"/>
        <v>0</v>
      </c>
      <c r="G32" s="301">
        <f>'AT3A_cvrg(Insti)_PY'!J32+'AT3B_cvrg(Insti)_UPY '!J31+'AT3C_cvrg(Insti)_UPY '!J31</f>
        <v>0</v>
      </c>
      <c r="H32" s="430">
        <f>'enrolment vs availed_UPY'!O31</f>
        <v>0</v>
      </c>
      <c r="I32" s="298">
        <v>214</v>
      </c>
      <c r="J32" s="298">
        <f t="shared" si="1"/>
        <v>0</v>
      </c>
    </row>
    <row r="33" spans="1:10">
      <c r="A33" s="204">
        <f t="shared" si="2"/>
        <v>22</v>
      </c>
      <c r="B33" s="204" t="s">
        <v>603</v>
      </c>
      <c r="C33" s="302">
        <v>10</v>
      </c>
      <c r="D33" s="302">
        <v>349</v>
      </c>
      <c r="E33" s="301">
        <v>214</v>
      </c>
      <c r="F33" s="300">
        <f t="shared" si="0"/>
        <v>74686</v>
      </c>
      <c r="G33" s="301">
        <f>'AT3A_cvrg(Insti)_PY'!J33+'AT3B_cvrg(Insti)_UPY '!J32+'AT3C_cvrg(Insti)_UPY '!J32</f>
        <v>10</v>
      </c>
      <c r="H33" s="430">
        <f>'enrolment vs availed_UPY'!O32</f>
        <v>64414</v>
      </c>
      <c r="I33" s="298">
        <v>214</v>
      </c>
      <c r="J33" s="298">
        <f t="shared" si="1"/>
        <v>301</v>
      </c>
    </row>
    <row r="34" spans="1:10">
      <c r="A34" s="204">
        <f t="shared" si="2"/>
        <v>23</v>
      </c>
      <c r="B34" s="204" t="s">
        <v>604</v>
      </c>
      <c r="C34" s="302">
        <v>0</v>
      </c>
      <c r="D34" s="302">
        <v>0</v>
      </c>
      <c r="E34" s="301">
        <v>214</v>
      </c>
      <c r="F34" s="300">
        <f t="shared" si="0"/>
        <v>0</v>
      </c>
      <c r="G34" s="301">
        <f>'AT3A_cvrg(Insti)_PY'!J34+'AT3B_cvrg(Insti)_UPY '!J33+'AT3C_cvrg(Insti)_UPY '!J33</f>
        <v>0</v>
      </c>
      <c r="H34" s="430">
        <f>'enrolment vs availed_UPY'!O33</f>
        <v>0</v>
      </c>
      <c r="I34" s="298">
        <v>214</v>
      </c>
      <c r="J34" s="298">
        <f t="shared" si="1"/>
        <v>0</v>
      </c>
    </row>
    <row r="35" spans="1:10">
      <c r="A35" s="204">
        <f t="shared" si="2"/>
        <v>24</v>
      </c>
      <c r="B35" s="204" t="s">
        <v>605</v>
      </c>
      <c r="C35" s="302">
        <v>0</v>
      </c>
      <c r="D35" s="302">
        <v>0</v>
      </c>
      <c r="E35" s="301">
        <v>214</v>
      </c>
      <c r="F35" s="300">
        <f t="shared" si="0"/>
        <v>0</v>
      </c>
      <c r="G35" s="301">
        <f>'AT3A_cvrg(Insti)_PY'!J35+'AT3B_cvrg(Insti)_UPY '!J34+'AT3C_cvrg(Insti)_UPY '!J34</f>
        <v>0</v>
      </c>
      <c r="H35" s="430">
        <f>'enrolment vs availed_UPY'!O34</f>
        <v>0</v>
      </c>
      <c r="I35" s="298">
        <v>214</v>
      </c>
      <c r="J35" s="298">
        <f t="shared" si="1"/>
        <v>0</v>
      </c>
    </row>
    <row r="36" spans="1:10">
      <c r="A36" s="204">
        <f t="shared" si="2"/>
        <v>25</v>
      </c>
      <c r="B36" s="204" t="s">
        <v>606</v>
      </c>
      <c r="C36" s="302">
        <v>0</v>
      </c>
      <c r="D36" s="302">
        <v>0</v>
      </c>
      <c r="E36" s="301">
        <v>214</v>
      </c>
      <c r="F36" s="300">
        <f t="shared" si="0"/>
        <v>0</v>
      </c>
      <c r="G36" s="301">
        <f>'AT3A_cvrg(Insti)_PY'!J36+'AT3B_cvrg(Insti)_UPY '!J35+'AT3C_cvrg(Insti)_UPY '!J35</f>
        <v>0</v>
      </c>
      <c r="H36" s="430">
        <f>'enrolment vs availed_UPY'!O35</f>
        <v>0</v>
      </c>
      <c r="I36" s="298">
        <v>214</v>
      </c>
      <c r="J36" s="298">
        <f t="shared" si="1"/>
        <v>0</v>
      </c>
    </row>
    <row r="37" spans="1:10">
      <c r="A37" s="204">
        <f t="shared" si="2"/>
        <v>26</v>
      </c>
      <c r="B37" s="204" t="s">
        <v>607</v>
      </c>
      <c r="C37" s="302">
        <v>0</v>
      </c>
      <c r="D37" s="302">
        <v>0</v>
      </c>
      <c r="E37" s="301">
        <v>214</v>
      </c>
      <c r="F37" s="300">
        <f t="shared" si="0"/>
        <v>0</v>
      </c>
      <c r="G37" s="301">
        <f>'AT3A_cvrg(Insti)_PY'!J37+'AT3B_cvrg(Insti)_UPY '!J36+'AT3C_cvrg(Insti)_UPY '!J36</f>
        <v>0</v>
      </c>
      <c r="H37" s="430">
        <f>'enrolment vs availed_UPY'!O36</f>
        <v>0</v>
      </c>
      <c r="I37" s="298">
        <v>214</v>
      </c>
      <c r="J37" s="298">
        <f t="shared" si="1"/>
        <v>0</v>
      </c>
    </row>
    <row r="38" spans="1:10">
      <c r="A38" s="204">
        <f t="shared" si="2"/>
        <v>27</v>
      </c>
      <c r="B38" s="204" t="s">
        <v>608</v>
      </c>
      <c r="C38" s="302">
        <v>0</v>
      </c>
      <c r="D38" s="302">
        <v>0</v>
      </c>
      <c r="E38" s="301">
        <v>214</v>
      </c>
      <c r="F38" s="300">
        <f t="shared" si="0"/>
        <v>0</v>
      </c>
      <c r="G38" s="301">
        <f>'AT3A_cvrg(Insti)_PY'!J38+'AT3B_cvrg(Insti)_UPY '!J37+'AT3C_cvrg(Insti)_UPY '!J37</f>
        <v>0</v>
      </c>
      <c r="H38" s="430">
        <f>'enrolment vs availed_UPY'!O37</f>
        <v>0</v>
      </c>
      <c r="I38" s="298">
        <v>214</v>
      </c>
      <c r="J38" s="298">
        <f t="shared" si="1"/>
        <v>0</v>
      </c>
    </row>
    <row r="39" spans="1:10">
      <c r="A39" s="204">
        <f t="shared" si="2"/>
        <v>28</v>
      </c>
      <c r="B39" s="204" t="s">
        <v>609</v>
      </c>
      <c r="C39" s="302">
        <v>0</v>
      </c>
      <c r="D39" s="302">
        <v>0</v>
      </c>
      <c r="E39" s="301">
        <v>214</v>
      </c>
      <c r="F39" s="300">
        <f t="shared" si="0"/>
        <v>0</v>
      </c>
      <c r="G39" s="301">
        <f>'AT3A_cvrg(Insti)_PY'!J39+'AT3B_cvrg(Insti)_UPY '!J38+'AT3C_cvrg(Insti)_UPY '!J38</f>
        <v>0</v>
      </c>
      <c r="H39" s="430">
        <f>'enrolment vs availed_UPY'!O38</f>
        <v>0</v>
      </c>
      <c r="I39" s="298">
        <v>214</v>
      </c>
      <c r="J39" s="298">
        <f t="shared" si="1"/>
        <v>0</v>
      </c>
    </row>
    <row r="40" spans="1:10">
      <c r="A40" s="204">
        <f t="shared" si="2"/>
        <v>29</v>
      </c>
      <c r="B40" s="204" t="s">
        <v>610</v>
      </c>
      <c r="C40" s="302">
        <v>0</v>
      </c>
      <c r="D40" s="302">
        <v>0</v>
      </c>
      <c r="E40" s="301">
        <v>214</v>
      </c>
      <c r="F40" s="300">
        <f t="shared" si="0"/>
        <v>0</v>
      </c>
      <c r="G40" s="301">
        <f>'AT3A_cvrg(Insti)_PY'!J40+'AT3B_cvrg(Insti)_UPY '!J39+'AT3C_cvrg(Insti)_UPY '!J39</f>
        <v>0</v>
      </c>
      <c r="H40" s="430">
        <f>'enrolment vs availed_UPY'!O39</f>
        <v>0</v>
      </c>
      <c r="I40" s="298">
        <v>214</v>
      </c>
      <c r="J40" s="298">
        <f t="shared" si="1"/>
        <v>0</v>
      </c>
    </row>
    <row r="41" spans="1:10">
      <c r="A41" s="204">
        <f t="shared" si="2"/>
        <v>30</v>
      </c>
      <c r="B41" s="502" t="s">
        <v>611</v>
      </c>
      <c r="C41" s="302">
        <v>0</v>
      </c>
      <c r="D41" s="302">
        <v>0</v>
      </c>
      <c r="E41" s="301">
        <v>214</v>
      </c>
      <c r="F41" s="300">
        <f t="shared" si="0"/>
        <v>0</v>
      </c>
      <c r="G41" s="301">
        <f>'AT3A_cvrg(Insti)_PY'!J41+'AT3B_cvrg(Insti)_UPY '!J40+'AT3C_cvrg(Insti)_UPY '!J40</f>
        <v>0</v>
      </c>
      <c r="H41" s="430">
        <f>'enrolment vs availed_UPY'!O40</f>
        <v>0</v>
      </c>
      <c r="I41" s="298">
        <v>214</v>
      </c>
      <c r="J41" s="298">
        <f t="shared" si="1"/>
        <v>0</v>
      </c>
    </row>
    <row r="42" spans="1:10">
      <c r="A42" s="204">
        <f t="shared" si="2"/>
        <v>31</v>
      </c>
      <c r="B42" s="502" t="s">
        <v>612</v>
      </c>
      <c r="C42" s="302">
        <v>0</v>
      </c>
      <c r="D42" s="302">
        <v>0</v>
      </c>
      <c r="E42" s="301">
        <v>214</v>
      </c>
      <c r="F42" s="300">
        <f t="shared" si="0"/>
        <v>0</v>
      </c>
      <c r="G42" s="301">
        <f>'AT3A_cvrg(Insti)_PY'!J42+'AT3B_cvrg(Insti)_UPY '!J41+'AT3C_cvrg(Insti)_UPY '!J41</f>
        <v>0</v>
      </c>
      <c r="H42" s="430">
        <f>'enrolment vs availed_UPY'!O41</f>
        <v>0</v>
      </c>
      <c r="I42" s="298">
        <v>214</v>
      </c>
      <c r="J42" s="298">
        <f t="shared" si="1"/>
        <v>0</v>
      </c>
    </row>
    <row r="43" spans="1:10">
      <c r="A43" s="204">
        <f t="shared" si="2"/>
        <v>32</v>
      </c>
      <c r="B43" s="502" t="s">
        <v>613</v>
      </c>
      <c r="C43" s="302">
        <v>0</v>
      </c>
      <c r="D43" s="302">
        <v>0</v>
      </c>
      <c r="E43" s="301">
        <v>214</v>
      </c>
      <c r="F43" s="300">
        <f t="shared" si="0"/>
        <v>0</v>
      </c>
      <c r="G43" s="301">
        <f>'AT3A_cvrg(Insti)_PY'!J43+'AT3B_cvrg(Insti)_UPY '!J42+'AT3C_cvrg(Insti)_UPY '!J42</f>
        <v>0</v>
      </c>
      <c r="H43" s="430">
        <f>'enrolment vs availed_UPY'!O42</f>
        <v>0</v>
      </c>
      <c r="I43" s="298">
        <v>214</v>
      </c>
      <c r="J43" s="298">
        <f t="shared" si="1"/>
        <v>0</v>
      </c>
    </row>
    <row r="44" spans="1:10">
      <c r="A44" s="204">
        <f t="shared" si="2"/>
        <v>33</v>
      </c>
      <c r="B44" s="502" t="s">
        <v>614</v>
      </c>
      <c r="C44" s="302">
        <v>0</v>
      </c>
      <c r="D44" s="302">
        <v>0</v>
      </c>
      <c r="E44" s="301">
        <v>214</v>
      </c>
      <c r="F44" s="300">
        <f t="shared" si="0"/>
        <v>0</v>
      </c>
      <c r="G44" s="301">
        <f>'AT3A_cvrg(Insti)_PY'!J44+'AT3B_cvrg(Insti)_UPY '!J43+'AT3C_cvrg(Insti)_UPY '!J43</f>
        <v>0</v>
      </c>
      <c r="H44" s="430">
        <f>'enrolment vs availed_UPY'!O43</f>
        <v>0</v>
      </c>
      <c r="I44" s="298">
        <v>214</v>
      </c>
      <c r="J44" s="298">
        <f t="shared" si="1"/>
        <v>0</v>
      </c>
    </row>
    <row r="45" spans="1:10" s="5" customFormat="1">
      <c r="A45" s="274"/>
      <c r="B45" s="274" t="s">
        <v>615</v>
      </c>
      <c r="C45" s="494">
        <f>SUM(C12:C44)</f>
        <v>46</v>
      </c>
      <c r="D45" s="494">
        <f t="shared" ref="D45:J45" si="3">SUM(D12:D44)</f>
        <v>1765</v>
      </c>
      <c r="E45" s="615">
        <v>214</v>
      </c>
      <c r="F45" s="494">
        <f t="shared" si="3"/>
        <v>377710</v>
      </c>
      <c r="G45" s="494">
        <f t="shared" si="3"/>
        <v>43</v>
      </c>
      <c r="H45" s="494">
        <f t="shared" si="3"/>
        <v>271780</v>
      </c>
      <c r="I45" s="494">
        <v>214</v>
      </c>
      <c r="J45" s="616">
        <f t="shared" si="3"/>
        <v>1270</v>
      </c>
    </row>
    <row r="46" spans="1:10">
      <c r="A46" s="3"/>
      <c r="B46" s="18"/>
      <c r="C46" s="18"/>
      <c r="D46" s="10"/>
      <c r="E46" s="10"/>
      <c r="F46" s="10"/>
      <c r="G46" s="10"/>
      <c r="H46" s="375"/>
      <c r="I46" s="375"/>
      <c r="J46" s="429"/>
    </row>
    <row r="47" spans="1:10">
      <c r="A47" s="422" t="s">
        <v>682</v>
      </c>
      <c r="B47" s="18"/>
      <c r="C47" s="18"/>
      <c r="D47" s="10"/>
      <c r="E47" s="10"/>
      <c r="F47" s="10"/>
      <c r="G47" s="10"/>
      <c r="H47" s="10"/>
      <c r="I47" s="10"/>
      <c r="J47" s="613"/>
    </row>
    <row r="49" spans="1:10">
      <c r="A49" s="809"/>
      <c r="B49" s="809"/>
      <c r="C49" s="809"/>
      <c r="D49" s="809"/>
      <c r="E49" s="809"/>
      <c r="F49" s="809"/>
      <c r="G49" s="809"/>
      <c r="H49" s="809"/>
      <c r="I49" s="809"/>
      <c r="J49" s="809"/>
    </row>
    <row r="50" spans="1:10" ht="15.75">
      <c r="G50" s="761" t="s">
        <v>908</v>
      </c>
      <c r="H50" s="761"/>
      <c r="I50" s="761"/>
      <c r="J50" s="761"/>
    </row>
    <row r="51" spans="1:10" ht="15.75">
      <c r="G51" s="761" t="s">
        <v>646</v>
      </c>
      <c r="H51" s="761"/>
      <c r="I51" s="761"/>
      <c r="J51" s="761"/>
    </row>
  </sheetData>
  <mergeCells count="13">
    <mergeCell ref="G50:J50"/>
    <mergeCell ref="G51:J51"/>
    <mergeCell ref="A49:J49"/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</mergeCells>
  <printOptions horizontalCentered="1"/>
  <pageMargins left="0.41" right="0.46" top="0.45" bottom="0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90" zoomScaleNormal="70" zoomScaleSheetLayoutView="90" workbookViewId="0"/>
  </sheetViews>
  <sheetFormatPr defaultColWidth="9.140625" defaultRowHeight="12.75"/>
  <cols>
    <col min="1" max="1" width="7.42578125" style="173" customWidth="1"/>
    <col min="2" max="2" width="17.140625" style="173" customWidth="1"/>
    <col min="3" max="3" width="11" style="173" customWidth="1"/>
    <col min="4" max="4" width="10" style="173" customWidth="1"/>
    <col min="5" max="5" width="13.140625" style="173" customWidth="1"/>
    <col min="6" max="6" width="14.28515625" style="173" customWidth="1"/>
    <col min="7" max="7" width="13.28515625" style="173" customWidth="1"/>
    <col min="8" max="8" width="14.7109375" style="173" customWidth="1"/>
    <col min="9" max="9" width="16.7109375" style="173" customWidth="1"/>
    <col min="10" max="10" width="19.28515625" style="173" customWidth="1"/>
    <col min="11" max="16384" width="9.140625" style="173"/>
  </cols>
  <sheetData>
    <row r="1" spans="1:16">
      <c r="E1" s="700"/>
      <c r="F1" s="700"/>
      <c r="G1" s="700"/>
      <c r="H1" s="700"/>
      <c r="I1" s="700"/>
      <c r="J1" s="458" t="s">
        <v>352</v>
      </c>
    </row>
    <row r="2" spans="1:16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6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6" ht="14.25" customHeight="1"/>
    <row r="5" spans="1:16" ht="31.5" customHeight="1">
      <c r="A5" s="808" t="s">
        <v>756</v>
      </c>
      <c r="B5" s="808"/>
      <c r="C5" s="808"/>
      <c r="D5" s="808"/>
      <c r="E5" s="808"/>
      <c r="F5" s="808"/>
      <c r="G5" s="808"/>
      <c r="H5" s="808"/>
      <c r="I5" s="808"/>
      <c r="J5" s="808"/>
    </row>
    <row r="6" spans="1:16" ht="13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6" ht="0.75" customHeight="1"/>
    <row r="8" spans="1:16">
      <c r="A8" s="699" t="s">
        <v>658</v>
      </c>
      <c r="B8" s="699"/>
      <c r="C8" s="141"/>
      <c r="H8" s="793" t="s">
        <v>774</v>
      </c>
      <c r="I8" s="793"/>
      <c r="J8" s="793"/>
    </row>
    <row r="9" spans="1:16">
      <c r="A9" s="668" t="s">
        <v>2</v>
      </c>
      <c r="B9" s="668" t="s">
        <v>3</v>
      </c>
      <c r="C9" s="681" t="s">
        <v>755</v>
      </c>
      <c r="D9" s="743"/>
      <c r="E9" s="743"/>
      <c r="F9" s="682"/>
      <c r="G9" s="681" t="s">
        <v>98</v>
      </c>
      <c r="H9" s="743"/>
      <c r="I9" s="743"/>
      <c r="J9" s="682"/>
      <c r="O9" s="8"/>
      <c r="P9" s="10"/>
    </row>
    <row r="10" spans="1:16" ht="53.25" customHeight="1">
      <c r="A10" s="668"/>
      <c r="B10" s="668"/>
      <c r="C10" s="150" t="s">
        <v>180</v>
      </c>
      <c r="D10" s="150" t="s">
        <v>14</v>
      </c>
      <c r="E10" s="121" t="s">
        <v>703</v>
      </c>
      <c r="F10" s="152" t="s">
        <v>197</v>
      </c>
      <c r="G10" s="150" t="s">
        <v>180</v>
      </c>
      <c r="H10" s="179" t="s">
        <v>15</v>
      </c>
      <c r="I10" s="178" t="s">
        <v>106</v>
      </c>
      <c r="J10" s="150" t="s">
        <v>198</v>
      </c>
    </row>
    <row r="11" spans="1:16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2">
        <v>6</v>
      </c>
      <c r="G11" s="150">
        <v>7</v>
      </c>
      <c r="H11" s="153">
        <v>8</v>
      </c>
      <c r="I11" s="150">
        <v>9</v>
      </c>
      <c r="J11" s="150">
        <v>10</v>
      </c>
    </row>
    <row r="12" spans="1:16">
      <c r="A12" s="204">
        <v>1</v>
      </c>
      <c r="B12" s="204" t="s">
        <v>624</v>
      </c>
      <c r="C12" s="810" t="s">
        <v>629</v>
      </c>
      <c r="D12" s="811"/>
      <c r="E12" s="811"/>
      <c r="F12" s="811"/>
      <c r="G12" s="811"/>
      <c r="H12" s="811"/>
      <c r="I12" s="811"/>
      <c r="J12" s="812"/>
    </row>
    <row r="13" spans="1:16">
      <c r="A13" s="204">
        <f>A12+1</f>
        <v>2</v>
      </c>
      <c r="B13" s="204" t="s">
        <v>589</v>
      </c>
      <c r="C13" s="813"/>
      <c r="D13" s="814"/>
      <c r="E13" s="814"/>
      <c r="F13" s="814"/>
      <c r="G13" s="814"/>
      <c r="H13" s="814"/>
      <c r="I13" s="814"/>
      <c r="J13" s="815"/>
    </row>
    <row r="14" spans="1:16">
      <c r="A14" s="204">
        <f t="shared" ref="A14:A44" si="0">A13+1</f>
        <v>3</v>
      </c>
      <c r="B14" s="204" t="s">
        <v>625</v>
      </c>
      <c r="C14" s="813"/>
      <c r="D14" s="814"/>
      <c r="E14" s="814"/>
      <c r="F14" s="814"/>
      <c r="G14" s="814"/>
      <c r="H14" s="814"/>
      <c r="I14" s="814"/>
      <c r="J14" s="815"/>
    </row>
    <row r="15" spans="1:16">
      <c r="A15" s="204">
        <f t="shared" si="0"/>
        <v>4</v>
      </c>
      <c r="B15" s="204" t="s">
        <v>590</v>
      </c>
      <c r="C15" s="813"/>
      <c r="D15" s="814"/>
      <c r="E15" s="814"/>
      <c r="F15" s="814"/>
      <c r="G15" s="814"/>
      <c r="H15" s="814"/>
      <c r="I15" s="814"/>
      <c r="J15" s="815"/>
    </row>
    <row r="16" spans="1:16">
      <c r="A16" s="204">
        <f t="shared" si="0"/>
        <v>5</v>
      </c>
      <c r="B16" s="204" t="s">
        <v>591</v>
      </c>
      <c r="C16" s="813"/>
      <c r="D16" s="814"/>
      <c r="E16" s="814"/>
      <c r="F16" s="814"/>
      <c r="G16" s="814"/>
      <c r="H16" s="814"/>
      <c r="I16" s="814"/>
      <c r="J16" s="815"/>
    </row>
    <row r="17" spans="1:10">
      <c r="A17" s="204">
        <f t="shared" si="0"/>
        <v>6</v>
      </c>
      <c r="B17" s="204" t="s">
        <v>592</v>
      </c>
      <c r="C17" s="813"/>
      <c r="D17" s="814"/>
      <c r="E17" s="814"/>
      <c r="F17" s="814"/>
      <c r="G17" s="814"/>
      <c r="H17" s="814"/>
      <c r="I17" s="814"/>
      <c r="J17" s="815"/>
    </row>
    <row r="18" spans="1:10">
      <c r="A18" s="204">
        <f t="shared" si="0"/>
        <v>7</v>
      </c>
      <c r="B18" s="204" t="s">
        <v>593</v>
      </c>
      <c r="C18" s="813"/>
      <c r="D18" s="814"/>
      <c r="E18" s="814"/>
      <c r="F18" s="814"/>
      <c r="G18" s="814"/>
      <c r="H18" s="814"/>
      <c r="I18" s="814"/>
      <c r="J18" s="815"/>
    </row>
    <row r="19" spans="1:10">
      <c r="A19" s="204">
        <f t="shared" si="0"/>
        <v>8</v>
      </c>
      <c r="B19" s="204" t="s">
        <v>594</v>
      </c>
      <c r="C19" s="813"/>
      <c r="D19" s="814"/>
      <c r="E19" s="814"/>
      <c r="F19" s="814"/>
      <c r="G19" s="814"/>
      <c r="H19" s="814"/>
      <c r="I19" s="814"/>
      <c r="J19" s="815"/>
    </row>
    <row r="20" spans="1:10">
      <c r="A20" s="204">
        <f t="shared" si="0"/>
        <v>9</v>
      </c>
      <c r="B20" s="204" t="s">
        <v>595</v>
      </c>
      <c r="C20" s="813"/>
      <c r="D20" s="814"/>
      <c r="E20" s="814"/>
      <c r="F20" s="814"/>
      <c r="G20" s="814"/>
      <c r="H20" s="814"/>
      <c r="I20" s="814"/>
      <c r="J20" s="815"/>
    </row>
    <row r="21" spans="1:10">
      <c r="A21" s="204">
        <f t="shared" si="0"/>
        <v>10</v>
      </c>
      <c r="B21" s="204" t="s">
        <v>596</v>
      </c>
      <c r="C21" s="813"/>
      <c r="D21" s="814"/>
      <c r="E21" s="814"/>
      <c r="F21" s="814"/>
      <c r="G21" s="814"/>
      <c r="H21" s="814"/>
      <c r="I21" s="814"/>
      <c r="J21" s="815"/>
    </row>
    <row r="22" spans="1:10">
      <c r="A22" s="204">
        <f t="shared" si="0"/>
        <v>11</v>
      </c>
      <c r="B22" s="204" t="s">
        <v>626</v>
      </c>
      <c r="C22" s="813"/>
      <c r="D22" s="814"/>
      <c r="E22" s="814"/>
      <c r="F22" s="814"/>
      <c r="G22" s="814"/>
      <c r="H22" s="814"/>
      <c r="I22" s="814"/>
      <c r="J22" s="815"/>
    </row>
    <row r="23" spans="1:10">
      <c r="A23" s="204">
        <f t="shared" si="0"/>
        <v>12</v>
      </c>
      <c r="B23" s="204" t="s">
        <v>597</v>
      </c>
      <c r="C23" s="813"/>
      <c r="D23" s="814"/>
      <c r="E23" s="814"/>
      <c r="F23" s="814"/>
      <c r="G23" s="814"/>
      <c r="H23" s="814"/>
      <c r="I23" s="814"/>
      <c r="J23" s="815"/>
    </row>
    <row r="24" spans="1:10">
      <c r="A24" s="204">
        <f t="shared" si="0"/>
        <v>13</v>
      </c>
      <c r="B24" s="204" t="s">
        <v>598</v>
      </c>
      <c r="C24" s="813"/>
      <c r="D24" s="814"/>
      <c r="E24" s="814"/>
      <c r="F24" s="814"/>
      <c r="G24" s="814"/>
      <c r="H24" s="814"/>
      <c r="I24" s="814"/>
      <c r="J24" s="815"/>
    </row>
    <row r="25" spans="1:10">
      <c r="A25" s="204">
        <f t="shared" si="0"/>
        <v>14</v>
      </c>
      <c r="B25" s="204" t="s">
        <v>627</v>
      </c>
      <c r="C25" s="813"/>
      <c r="D25" s="814"/>
      <c r="E25" s="814"/>
      <c r="F25" s="814"/>
      <c r="G25" s="814"/>
      <c r="H25" s="814"/>
      <c r="I25" s="814"/>
      <c r="J25" s="815"/>
    </row>
    <row r="26" spans="1:10">
      <c r="A26" s="204">
        <f t="shared" si="0"/>
        <v>15</v>
      </c>
      <c r="B26" s="204" t="s">
        <v>599</v>
      </c>
      <c r="C26" s="813"/>
      <c r="D26" s="814"/>
      <c r="E26" s="814"/>
      <c r="F26" s="814"/>
      <c r="G26" s="814"/>
      <c r="H26" s="814"/>
      <c r="I26" s="814"/>
      <c r="J26" s="815"/>
    </row>
    <row r="27" spans="1:10">
      <c r="A27" s="204">
        <f t="shared" si="0"/>
        <v>16</v>
      </c>
      <c r="B27" s="204" t="s">
        <v>600</v>
      </c>
      <c r="C27" s="813"/>
      <c r="D27" s="814"/>
      <c r="E27" s="814"/>
      <c r="F27" s="814"/>
      <c r="G27" s="814"/>
      <c r="H27" s="814"/>
      <c r="I27" s="814"/>
      <c r="J27" s="815"/>
    </row>
    <row r="28" spans="1:10" s="527" customFormat="1">
      <c r="A28" s="204">
        <f t="shared" si="0"/>
        <v>17</v>
      </c>
      <c r="B28" s="529" t="s">
        <v>684</v>
      </c>
      <c r="C28" s="813"/>
      <c r="D28" s="814"/>
      <c r="E28" s="814"/>
      <c r="F28" s="814"/>
      <c r="G28" s="814"/>
      <c r="H28" s="814"/>
      <c r="I28" s="814"/>
      <c r="J28" s="815"/>
    </row>
    <row r="29" spans="1:10">
      <c r="A29" s="204">
        <f t="shared" si="0"/>
        <v>18</v>
      </c>
      <c r="B29" s="204" t="s">
        <v>601</v>
      </c>
      <c r="C29" s="813"/>
      <c r="D29" s="814"/>
      <c r="E29" s="814"/>
      <c r="F29" s="814"/>
      <c r="G29" s="814"/>
      <c r="H29" s="814"/>
      <c r="I29" s="814"/>
      <c r="J29" s="815"/>
    </row>
    <row r="30" spans="1:10">
      <c r="A30" s="204">
        <f t="shared" si="0"/>
        <v>19</v>
      </c>
      <c r="B30" s="204" t="s">
        <v>602</v>
      </c>
      <c r="C30" s="813"/>
      <c r="D30" s="814"/>
      <c r="E30" s="814"/>
      <c r="F30" s="814"/>
      <c r="G30" s="814"/>
      <c r="H30" s="814"/>
      <c r="I30" s="814"/>
      <c r="J30" s="815"/>
    </row>
    <row r="31" spans="1:10" s="527" customFormat="1">
      <c r="A31" s="204">
        <f t="shared" si="0"/>
        <v>20</v>
      </c>
      <c r="B31" s="529" t="s">
        <v>683</v>
      </c>
      <c r="C31" s="813"/>
      <c r="D31" s="814"/>
      <c r="E31" s="814"/>
      <c r="F31" s="814"/>
      <c r="G31" s="814"/>
      <c r="H31" s="814"/>
      <c r="I31" s="814"/>
      <c r="J31" s="815"/>
    </row>
    <row r="32" spans="1:10">
      <c r="A32" s="204">
        <f t="shared" si="0"/>
        <v>21</v>
      </c>
      <c r="B32" s="529" t="s">
        <v>628</v>
      </c>
      <c r="C32" s="813"/>
      <c r="D32" s="814"/>
      <c r="E32" s="814"/>
      <c r="F32" s="814"/>
      <c r="G32" s="814"/>
      <c r="H32" s="814"/>
      <c r="I32" s="814"/>
      <c r="J32" s="815"/>
    </row>
    <row r="33" spans="1:10">
      <c r="A33" s="204">
        <f t="shared" si="0"/>
        <v>22</v>
      </c>
      <c r="B33" s="204" t="s">
        <v>603</v>
      </c>
      <c r="C33" s="813"/>
      <c r="D33" s="814"/>
      <c r="E33" s="814"/>
      <c r="F33" s="814"/>
      <c r="G33" s="814"/>
      <c r="H33" s="814"/>
      <c r="I33" s="814"/>
      <c r="J33" s="815"/>
    </row>
    <row r="34" spans="1:10">
      <c r="A34" s="204">
        <f t="shared" si="0"/>
        <v>23</v>
      </c>
      <c r="B34" s="204" t="s">
        <v>604</v>
      </c>
      <c r="C34" s="813"/>
      <c r="D34" s="814"/>
      <c r="E34" s="814"/>
      <c r="F34" s="814"/>
      <c r="G34" s="814"/>
      <c r="H34" s="814"/>
      <c r="I34" s="814"/>
      <c r="J34" s="815"/>
    </row>
    <row r="35" spans="1:10">
      <c r="A35" s="204">
        <f t="shared" si="0"/>
        <v>24</v>
      </c>
      <c r="B35" s="204" t="s">
        <v>605</v>
      </c>
      <c r="C35" s="813"/>
      <c r="D35" s="814"/>
      <c r="E35" s="814"/>
      <c r="F35" s="814"/>
      <c r="G35" s="814"/>
      <c r="H35" s="814"/>
      <c r="I35" s="814"/>
      <c r="J35" s="815"/>
    </row>
    <row r="36" spans="1:10">
      <c r="A36" s="204">
        <f t="shared" si="0"/>
        <v>25</v>
      </c>
      <c r="B36" s="204" t="s">
        <v>606</v>
      </c>
      <c r="C36" s="813"/>
      <c r="D36" s="814"/>
      <c r="E36" s="814"/>
      <c r="F36" s="814"/>
      <c r="G36" s="814"/>
      <c r="H36" s="814"/>
      <c r="I36" s="814"/>
      <c r="J36" s="815"/>
    </row>
    <row r="37" spans="1:10">
      <c r="A37" s="204">
        <f t="shared" si="0"/>
        <v>26</v>
      </c>
      <c r="B37" s="204" t="s">
        <v>607</v>
      </c>
      <c r="C37" s="813"/>
      <c r="D37" s="814"/>
      <c r="E37" s="814"/>
      <c r="F37" s="814"/>
      <c r="G37" s="814"/>
      <c r="H37" s="814"/>
      <c r="I37" s="814"/>
      <c r="J37" s="815"/>
    </row>
    <row r="38" spans="1:10">
      <c r="A38" s="204">
        <f t="shared" si="0"/>
        <v>27</v>
      </c>
      <c r="B38" s="204" t="s">
        <v>608</v>
      </c>
      <c r="C38" s="813"/>
      <c r="D38" s="814"/>
      <c r="E38" s="814"/>
      <c r="F38" s="814"/>
      <c r="G38" s="814"/>
      <c r="H38" s="814"/>
      <c r="I38" s="814"/>
      <c r="J38" s="815"/>
    </row>
    <row r="39" spans="1:10">
      <c r="A39" s="204">
        <f t="shared" si="0"/>
        <v>28</v>
      </c>
      <c r="B39" s="204" t="s">
        <v>609</v>
      </c>
      <c r="C39" s="813"/>
      <c r="D39" s="814"/>
      <c r="E39" s="814"/>
      <c r="F39" s="814"/>
      <c r="G39" s="814"/>
      <c r="H39" s="814"/>
      <c r="I39" s="814"/>
      <c r="J39" s="815"/>
    </row>
    <row r="40" spans="1:10">
      <c r="A40" s="204">
        <f t="shared" si="0"/>
        <v>29</v>
      </c>
      <c r="B40" s="204" t="s">
        <v>610</v>
      </c>
      <c r="C40" s="813"/>
      <c r="D40" s="814"/>
      <c r="E40" s="814"/>
      <c r="F40" s="814"/>
      <c r="G40" s="814"/>
      <c r="H40" s="814"/>
      <c r="I40" s="814"/>
      <c r="J40" s="815"/>
    </row>
    <row r="41" spans="1:10">
      <c r="A41" s="204">
        <f t="shared" si="0"/>
        <v>30</v>
      </c>
      <c r="B41" s="502" t="s">
        <v>611</v>
      </c>
      <c r="C41" s="813"/>
      <c r="D41" s="814"/>
      <c r="E41" s="814"/>
      <c r="F41" s="814"/>
      <c r="G41" s="814"/>
      <c r="H41" s="814"/>
      <c r="I41" s="814"/>
      <c r="J41" s="815"/>
    </row>
    <row r="42" spans="1:10">
      <c r="A42" s="204">
        <f t="shared" si="0"/>
        <v>31</v>
      </c>
      <c r="B42" s="502" t="s">
        <v>612</v>
      </c>
      <c r="C42" s="813"/>
      <c r="D42" s="814"/>
      <c r="E42" s="814"/>
      <c r="F42" s="814"/>
      <c r="G42" s="814"/>
      <c r="H42" s="814"/>
      <c r="I42" s="814"/>
      <c r="J42" s="815"/>
    </row>
    <row r="43" spans="1:10">
      <c r="A43" s="204">
        <f t="shared" si="0"/>
        <v>32</v>
      </c>
      <c r="B43" s="502" t="s">
        <v>613</v>
      </c>
      <c r="C43" s="813"/>
      <c r="D43" s="814"/>
      <c r="E43" s="814"/>
      <c r="F43" s="814"/>
      <c r="G43" s="814"/>
      <c r="H43" s="814"/>
      <c r="I43" s="814"/>
      <c r="J43" s="815"/>
    </row>
    <row r="44" spans="1:10">
      <c r="A44" s="204">
        <f t="shared" si="0"/>
        <v>33</v>
      </c>
      <c r="B44" s="502" t="s">
        <v>614</v>
      </c>
      <c r="C44" s="813"/>
      <c r="D44" s="814"/>
      <c r="E44" s="814"/>
      <c r="F44" s="814"/>
      <c r="G44" s="814"/>
      <c r="H44" s="814"/>
      <c r="I44" s="814"/>
      <c r="J44" s="815"/>
    </row>
    <row r="45" spans="1:10">
      <c r="A45" s="151"/>
      <c r="B45" s="151" t="s">
        <v>615</v>
      </c>
      <c r="C45" s="816"/>
      <c r="D45" s="817"/>
      <c r="E45" s="817"/>
      <c r="F45" s="817"/>
      <c r="G45" s="817"/>
      <c r="H45" s="817"/>
      <c r="I45" s="817"/>
      <c r="J45" s="818"/>
    </row>
    <row r="46" spans="1:10">
      <c r="A46" s="3"/>
      <c r="B46" s="18"/>
      <c r="C46" s="18"/>
      <c r="D46" s="10"/>
      <c r="E46" s="10"/>
      <c r="F46" s="10"/>
      <c r="G46" s="10"/>
      <c r="H46" s="10"/>
      <c r="I46" s="10"/>
      <c r="J46" s="10"/>
    </row>
    <row r="47" spans="1:10">
      <c r="A47" s="423" t="s">
        <v>682</v>
      </c>
      <c r="B47" s="18"/>
      <c r="C47" s="18"/>
      <c r="D47" s="10"/>
      <c r="E47" s="10"/>
      <c r="F47" s="10"/>
      <c r="G47" s="10"/>
      <c r="H47" s="10"/>
      <c r="I47" s="10"/>
      <c r="J47" s="10"/>
    </row>
    <row r="48" spans="1:10">
      <c r="A48" s="3"/>
      <c r="B48" s="18"/>
      <c r="C48" s="18"/>
      <c r="D48" s="10"/>
      <c r="E48" s="10"/>
      <c r="F48" s="10"/>
      <c r="G48" s="10"/>
      <c r="H48" s="10"/>
      <c r="I48" s="10"/>
      <c r="J48" s="10"/>
    </row>
    <row r="49" spans="7:10" ht="15.75">
      <c r="G49" s="761" t="s">
        <v>908</v>
      </c>
      <c r="H49" s="761"/>
      <c r="I49" s="761"/>
      <c r="J49" s="761"/>
    </row>
    <row r="50" spans="7:10" ht="15.75">
      <c r="G50" s="761" t="s">
        <v>646</v>
      </c>
      <c r="H50" s="761"/>
      <c r="I50" s="761"/>
      <c r="J50" s="761"/>
    </row>
  </sheetData>
  <mergeCells count="13">
    <mergeCell ref="G49:J49"/>
    <mergeCell ref="G50:J50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C12:J45"/>
  </mergeCells>
  <printOptions horizontalCentered="1"/>
  <pageMargins left="0.4" right="0.44" top="0.53" bottom="0" header="0.31496062992125984" footer="0.31496062992125984"/>
  <pageSetup paperSize="9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78" zoomScaleNormal="70" zoomScaleSheetLayoutView="78" workbookViewId="0"/>
  </sheetViews>
  <sheetFormatPr defaultColWidth="9.140625" defaultRowHeight="12.75"/>
  <cols>
    <col min="1" max="1" width="7.42578125" style="173" customWidth="1"/>
    <col min="2" max="2" width="17.140625" style="173" customWidth="1"/>
    <col min="3" max="3" width="11" style="173" customWidth="1"/>
    <col min="4" max="4" width="10" style="173" customWidth="1"/>
    <col min="5" max="5" width="13.140625" style="173" customWidth="1"/>
    <col min="6" max="6" width="14.28515625" style="173" customWidth="1"/>
    <col min="7" max="7" width="13.28515625" style="173" customWidth="1"/>
    <col min="8" max="8" width="14.7109375" style="173" customWidth="1"/>
    <col min="9" max="9" width="16.7109375" style="173" customWidth="1"/>
    <col min="10" max="10" width="19.28515625" style="173" customWidth="1"/>
    <col min="11" max="16384" width="9.140625" style="173"/>
  </cols>
  <sheetData>
    <row r="1" spans="1:16">
      <c r="E1" s="700"/>
      <c r="F1" s="700"/>
      <c r="G1" s="700"/>
      <c r="H1" s="700"/>
      <c r="I1" s="700"/>
      <c r="J1" s="176" t="s">
        <v>422</v>
      </c>
    </row>
    <row r="2" spans="1:16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6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6" ht="14.25" customHeight="1"/>
    <row r="5" spans="1:16" ht="31.5" customHeight="1">
      <c r="A5" s="808" t="s">
        <v>754</v>
      </c>
      <c r="B5" s="808"/>
      <c r="C5" s="808"/>
      <c r="D5" s="808"/>
      <c r="E5" s="808"/>
      <c r="F5" s="808"/>
      <c r="G5" s="808"/>
      <c r="H5" s="808"/>
      <c r="I5" s="808"/>
      <c r="J5" s="808"/>
    </row>
    <row r="6" spans="1:16" ht="13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</row>
    <row r="7" spans="1:16" ht="0.75" customHeight="1"/>
    <row r="8" spans="1:16">
      <c r="A8" s="699" t="s">
        <v>658</v>
      </c>
      <c r="B8" s="699"/>
      <c r="C8" s="141"/>
      <c r="H8" s="793" t="s">
        <v>774</v>
      </c>
      <c r="I8" s="793"/>
      <c r="J8" s="793"/>
    </row>
    <row r="9" spans="1:16">
      <c r="A9" s="668" t="s">
        <v>2</v>
      </c>
      <c r="B9" s="668" t="s">
        <v>3</v>
      </c>
      <c r="C9" s="681" t="s">
        <v>755</v>
      </c>
      <c r="D9" s="743"/>
      <c r="E9" s="743"/>
      <c r="F9" s="682"/>
      <c r="G9" s="681" t="s">
        <v>98</v>
      </c>
      <c r="H9" s="743"/>
      <c r="I9" s="743"/>
      <c r="J9" s="682"/>
      <c r="O9" s="8"/>
      <c r="P9" s="10"/>
    </row>
    <row r="10" spans="1:16" ht="53.25" customHeight="1">
      <c r="A10" s="668"/>
      <c r="B10" s="668"/>
      <c r="C10" s="150" t="s">
        <v>180</v>
      </c>
      <c r="D10" s="150" t="s">
        <v>14</v>
      </c>
      <c r="E10" s="121" t="s">
        <v>354</v>
      </c>
      <c r="F10" s="152" t="s">
        <v>197</v>
      </c>
      <c r="G10" s="150" t="s">
        <v>180</v>
      </c>
      <c r="H10" s="179" t="s">
        <v>15</v>
      </c>
      <c r="I10" s="178" t="s">
        <v>106</v>
      </c>
      <c r="J10" s="150" t="s">
        <v>198</v>
      </c>
    </row>
    <row r="11" spans="1:16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2">
        <v>6</v>
      </c>
      <c r="G11" s="150">
        <v>7</v>
      </c>
      <c r="H11" s="153">
        <v>8</v>
      </c>
      <c r="I11" s="150">
        <v>9</v>
      </c>
      <c r="J11" s="150">
        <v>10</v>
      </c>
    </row>
    <row r="12" spans="1:16">
      <c r="A12" s="204">
        <v>1</v>
      </c>
      <c r="B12" s="204" t="s">
        <v>624</v>
      </c>
      <c r="C12" s="810" t="s">
        <v>629</v>
      </c>
      <c r="D12" s="811"/>
      <c r="E12" s="811"/>
      <c r="F12" s="811"/>
      <c r="G12" s="811"/>
      <c r="H12" s="811"/>
      <c r="I12" s="811"/>
      <c r="J12" s="812"/>
    </row>
    <row r="13" spans="1:16">
      <c r="A13" s="204">
        <f>A12+1</f>
        <v>2</v>
      </c>
      <c r="B13" s="204" t="s">
        <v>589</v>
      </c>
      <c r="C13" s="813"/>
      <c r="D13" s="814"/>
      <c r="E13" s="814"/>
      <c r="F13" s="814"/>
      <c r="G13" s="814"/>
      <c r="H13" s="814"/>
      <c r="I13" s="814"/>
      <c r="J13" s="815"/>
    </row>
    <row r="14" spans="1:16">
      <c r="A14" s="204">
        <f t="shared" ref="A14:A44" si="0">A13+1</f>
        <v>3</v>
      </c>
      <c r="B14" s="204" t="s">
        <v>625</v>
      </c>
      <c r="C14" s="813"/>
      <c r="D14" s="814"/>
      <c r="E14" s="814"/>
      <c r="F14" s="814"/>
      <c r="G14" s="814"/>
      <c r="H14" s="814"/>
      <c r="I14" s="814"/>
      <c r="J14" s="815"/>
    </row>
    <row r="15" spans="1:16">
      <c r="A15" s="204">
        <f t="shared" si="0"/>
        <v>4</v>
      </c>
      <c r="B15" s="204" t="s">
        <v>590</v>
      </c>
      <c r="C15" s="813"/>
      <c r="D15" s="814"/>
      <c r="E15" s="814"/>
      <c r="F15" s="814"/>
      <c r="G15" s="814"/>
      <c r="H15" s="814"/>
      <c r="I15" s="814"/>
      <c r="J15" s="815"/>
    </row>
    <row r="16" spans="1:16">
      <c r="A16" s="204">
        <f t="shared" si="0"/>
        <v>5</v>
      </c>
      <c r="B16" s="204" t="s">
        <v>591</v>
      </c>
      <c r="C16" s="813"/>
      <c r="D16" s="814"/>
      <c r="E16" s="814"/>
      <c r="F16" s="814"/>
      <c r="G16" s="814"/>
      <c r="H16" s="814"/>
      <c r="I16" s="814"/>
      <c r="J16" s="815"/>
    </row>
    <row r="17" spans="1:10">
      <c r="A17" s="204">
        <f t="shared" si="0"/>
        <v>6</v>
      </c>
      <c r="B17" s="204" t="s">
        <v>592</v>
      </c>
      <c r="C17" s="813"/>
      <c r="D17" s="814"/>
      <c r="E17" s="814"/>
      <c r="F17" s="814"/>
      <c r="G17" s="814"/>
      <c r="H17" s="814"/>
      <c r="I17" s="814"/>
      <c r="J17" s="815"/>
    </row>
    <row r="18" spans="1:10">
      <c r="A18" s="204">
        <f t="shared" si="0"/>
        <v>7</v>
      </c>
      <c r="B18" s="204" t="s">
        <v>593</v>
      </c>
      <c r="C18" s="813"/>
      <c r="D18" s="814"/>
      <c r="E18" s="814"/>
      <c r="F18" s="814"/>
      <c r="G18" s="814"/>
      <c r="H18" s="814"/>
      <c r="I18" s="814"/>
      <c r="J18" s="815"/>
    </row>
    <row r="19" spans="1:10">
      <c r="A19" s="204">
        <f t="shared" si="0"/>
        <v>8</v>
      </c>
      <c r="B19" s="204" t="s">
        <v>594</v>
      </c>
      <c r="C19" s="813"/>
      <c r="D19" s="814"/>
      <c r="E19" s="814"/>
      <c r="F19" s="814"/>
      <c r="G19" s="814"/>
      <c r="H19" s="814"/>
      <c r="I19" s="814"/>
      <c r="J19" s="815"/>
    </row>
    <row r="20" spans="1:10">
      <c r="A20" s="204">
        <f t="shared" si="0"/>
        <v>9</v>
      </c>
      <c r="B20" s="204" t="s">
        <v>595</v>
      </c>
      <c r="C20" s="813"/>
      <c r="D20" s="814"/>
      <c r="E20" s="814"/>
      <c r="F20" s="814"/>
      <c r="G20" s="814"/>
      <c r="H20" s="814"/>
      <c r="I20" s="814"/>
      <c r="J20" s="815"/>
    </row>
    <row r="21" spans="1:10">
      <c r="A21" s="204">
        <f t="shared" si="0"/>
        <v>10</v>
      </c>
      <c r="B21" s="204" t="s">
        <v>596</v>
      </c>
      <c r="C21" s="813"/>
      <c r="D21" s="814"/>
      <c r="E21" s="814"/>
      <c r="F21" s="814"/>
      <c r="G21" s="814"/>
      <c r="H21" s="814"/>
      <c r="I21" s="814"/>
      <c r="J21" s="815"/>
    </row>
    <row r="22" spans="1:10">
      <c r="A22" s="204">
        <f t="shared" si="0"/>
        <v>11</v>
      </c>
      <c r="B22" s="204" t="s">
        <v>626</v>
      </c>
      <c r="C22" s="813"/>
      <c r="D22" s="814"/>
      <c r="E22" s="814"/>
      <c r="F22" s="814"/>
      <c r="G22" s="814"/>
      <c r="H22" s="814"/>
      <c r="I22" s="814"/>
      <c r="J22" s="815"/>
    </row>
    <row r="23" spans="1:10">
      <c r="A23" s="204">
        <f t="shared" si="0"/>
        <v>12</v>
      </c>
      <c r="B23" s="204" t="s">
        <v>597</v>
      </c>
      <c r="C23" s="813"/>
      <c r="D23" s="814"/>
      <c r="E23" s="814"/>
      <c r="F23" s="814"/>
      <c r="G23" s="814"/>
      <c r="H23" s="814"/>
      <c r="I23" s="814"/>
      <c r="J23" s="815"/>
    </row>
    <row r="24" spans="1:10">
      <c r="A24" s="204">
        <f t="shared" si="0"/>
        <v>13</v>
      </c>
      <c r="B24" s="204" t="s">
        <v>598</v>
      </c>
      <c r="C24" s="813"/>
      <c r="D24" s="814"/>
      <c r="E24" s="814"/>
      <c r="F24" s="814"/>
      <c r="G24" s="814"/>
      <c r="H24" s="814"/>
      <c r="I24" s="814"/>
      <c r="J24" s="815"/>
    </row>
    <row r="25" spans="1:10">
      <c r="A25" s="204">
        <f t="shared" si="0"/>
        <v>14</v>
      </c>
      <c r="B25" s="204" t="s">
        <v>627</v>
      </c>
      <c r="C25" s="813"/>
      <c r="D25" s="814"/>
      <c r="E25" s="814"/>
      <c r="F25" s="814"/>
      <c r="G25" s="814"/>
      <c r="H25" s="814"/>
      <c r="I25" s="814"/>
      <c r="J25" s="815"/>
    </row>
    <row r="26" spans="1:10">
      <c r="A26" s="204">
        <f t="shared" si="0"/>
        <v>15</v>
      </c>
      <c r="B26" s="204" t="s">
        <v>599</v>
      </c>
      <c r="C26" s="813"/>
      <c r="D26" s="814"/>
      <c r="E26" s="814"/>
      <c r="F26" s="814"/>
      <c r="G26" s="814"/>
      <c r="H26" s="814"/>
      <c r="I26" s="814"/>
      <c r="J26" s="815"/>
    </row>
    <row r="27" spans="1:10">
      <c r="A27" s="204">
        <f t="shared" si="0"/>
        <v>16</v>
      </c>
      <c r="B27" s="204" t="s">
        <v>600</v>
      </c>
      <c r="C27" s="813"/>
      <c r="D27" s="814"/>
      <c r="E27" s="814"/>
      <c r="F27" s="814"/>
      <c r="G27" s="814"/>
      <c r="H27" s="814"/>
      <c r="I27" s="814"/>
      <c r="J27" s="815"/>
    </row>
    <row r="28" spans="1:10" s="527" customFormat="1">
      <c r="A28" s="204">
        <f t="shared" si="0"/>
        <v>17</v>
      </c>
      <c r="B28" s="529" t="s">
        <v>684</v>
      </c>
      <c r="C28" s="813"/>
      <c r="D28" s="814"/>
      <c r="E28" s="814"/>
      <c r="F28" s="814"/>
      <c r="G28" s="814"/>
      <c r="H28" s="814"/>
      <c r="I28" s="814"/>
      <c r="J28" s="815"/>
    </row>
    <row r="29" spans="1:10">
      <c r="A29" s="204">
        <f t="shared" si="0"/>
        <v>18</v>
      </c>
      <c r="B29" s="204" t="s">
        <v>601</v>
      </c>
      <c r="C29" s="813"/>
      <c r="D29" s="814"/>
      <c r="E29" s="814"/>
      <c r="F29" s="814"/>
      <c r="G29" s="814"/>
      <c r="H29" s="814"/>
      <c r="I29" s="814"/>
      <c r="J29" s="815"/>
    </row>
    <row r="30" spans="1:10">
      <c r="A30" s="204">
        <f t="shared" si="0"/>
        <v>19</v>
      </c>
      <c r="B30" s="204" t="s">
        <v>602</v>
      </c>
      <c r="C30" s="813"/>
      <c r="D30" s="814"/>
      <c r="E30" s="814"/>
      <c r="F30" s="814"/>
      <c r="G30" s="814"/>
      <c r="H30" s="814"/>
      <c r="I30" s="814"/>
      <c r="J30" s="815"/>
    </row>
    <row r="31" spans="1:10" s="527" customFormat="1">
      <c r="A31" s="204">
        <f t="shared" si="0"/>
        <v>20</v>
      </c>
      <c r="B31" s="529" t="s">
        <v>683</v>
      </c>
      <c r="C31" s="813"/>
      <c r="D31" s="814"/>
      <c r="E31" s="814"/>
      <c r="F31" s="814"/>
      <c r="G31" s="814"/>
      <c r="H31" s="814"/>
      <c r="I31" s="814"/>
      <c r="J31" s="815"/>
    </row>
    <row r="32" spans="1:10">
      <c r="A32" s="204">
        <f t="shared" si="0"/>
        <v>21</v>
      </c>
      <c r="B32" s="529" t="s">
        <v>628</v>
      </c>
      <c r="C32" s="813"/>
      <c r="D32" s="814"/>
      <c r="E32" s="814"/>
      <c r="F32" s="814"/>
      <c r="G32" s="814"/>
      <c r="H32" s="814"/>
      <c r="I32" s="814"/>
      <c r="J32" s="815"/>
    </row>
    <row r="33" spans="1:10">
      <c r="A33" s="204">
        <f t="shared" si="0"/>
        <v>22</v>
      </c>
      <c r="B33" s="204" t="s">
        <v>603</v>
      </c>
      <c r="C33" s="813"/>
      <c r="D33" s="814"/>
      <c r="E33" s="814"/>
      <c r="F33" s="814"/>
      <c r="G33" s="814"/>
      <c r="H33" s="814"/>
      <c r="I33" s="814"/>
      <c r="J33" s="815"/>
    </row>
    <row r="34" spans="1:10">
      <c r="A34" s="204">
        <f t="shared" si="0"/>
        <v>23</v>
      </c>
      <c r="B34" s="204" t="s">
        <v>604</v>
      </c>
      <c r="C34" s="813"/>
      <c r="D34" s="814"/>
      <c r="E34" s="814"/>
      <c r="F34" s="814"/>
      <c r="G34" s="814"/>
      <c r="H34" s="814"/>
      <c r="I34" s="814"/>
      <c r="J34" s="815"/>
    </row>
    <row r="35" spans="1:10">
      <c r="A35" s="204">
        <f t="shared" si="0"/>
        <v>24</v>
      </c>
      <c r="B35" s="204" t="s">
        <v>605</v>
      </c>
      <c r="C35" s="813"/>
      <c r="D35" s="814"/>
      <c r="E35" s="814"/>
      <c r="F35" s="814"/>
      <c r="G35" s="814"/>
      <c r="H35" s="814"/>
      <c r="I35" s="814"/>
      <c r="J35" s="815"/>
    </row>
    <row r="36" spans="1:10">
      <c r="A36" s="204">
        <f t="shared" si="0"/>
        <v>25</v>
      </c>
      <c r="B36" s="204" t="s">
        <v>606</v>
      </c>
      <c r="C36" s="813"/>
      <c r="D36" s="814"/>
      <c r="E36" s="814"/>
      <c r="F36" s="814"/>
      <c r="G36" s="814"/>
      <c r="H36" s="814"/>
      <c r="I36" s="814"/>
      <c r="J36" s="815"/>
    </row>
    <row r="37" spans="1:10">
      <c r="A37" s="204">
        <f t="shared" si="0"/>
        <v>26</v>
      </c>
      <c r="B37" s="204" t="s">
        <v>607</v>
      </c>
      <c r="C37" s="813"/>
      <c r="D37" s="814"/>
      <c r="E37" s="814"/>
      <c r="F37" s="814"/>
      <c r="G37" s="814"/>
      <c r="H37" s="814"/>
      <c r="I37" s="814"/>
      <c r="J37" s="815"/>
    </row>
    <row r="38" spans="1:10">
      <c r="A38" s="204">
        <f t="shared" si="0"/>
        <v>27</v>
      </c>
      <c r="B38" s="204" t="s">
        <v>608</v>
      </c>
      <c r="C38" s="813"/>
      <c r="D38" s="814"/>
      <c r="E38" s="814"/>
      <c r="F38" s="814"/>
      <c r="G38" s="814"/>
      <c r="H38" s="814"/>
      <c r="I38" s="814"/>
      <c r="J38" s="815"/>
    </row>
    <row r="39" spans="1:10">
      <c r="A39" s="204">
        <f t="shared" si="0"/>
        <v>28</v>
      </c>
      <c r="B39" s="204" t="s">
        <v>609</v>
      </c>
      <c r="C39" s="813"/>
      <c r="D39" s="814"/>
      <c r="E39" s="814"/>
      <c r="F39" s="814"/>
      <c r="G39" s="814"/>
      <c r="H39" s="814"/>
      <c r="I39" s="814"/>
      <c r="J39" s="815"/>
    </row>
    <row r="40" spans="1:10">
      <c r="A40" s="204">
        <f t="shared" si="0"/>
        <v>29</v>
      </c>
      <c r="B40" s="204" t="s">
        <v>610</v>
      </c>
      <c r="C40" s="813"/>
      <c r="D40" s="814"/>
      <c r="E40" s="814"/>
      <c r="F40" s="814"/>
      <c r="G40" s="814"/>
      <c r="H40" s="814"/>
      <c r="I40" s="814"/>
      <c r="J40" s="815"/>
    </row>
    <row r="41" spans="1:10">
      <c r="A41" s="204">
        <f t="shared" si="0"/>
        <v>30</v>
      </c>
      <c r="B41" s="502" t="s">
        <v>611</v>
      </c>
      <c r="C41" s="813"/>
      <c r="D41" s="814"/>
      <c r="E41" s="814"/>
      <c r="F41" s="814"/>
      <c r="G41" s="814"/>
      <c r="H41" s="814"/>
      <c r="I41" s="814"/>
      <c r="J41" s="815"/>
    </row>
    <row r="42" spans="1:10">
      <c r="A42" s="204">
        <f t="shared" si="0"/>
        <v>31</v>
      </c>
      <c r="B42" s="502" t="s">
        <v>612</v>
      </c>
      <c r="C42" s="813"/>
      <c r="D42" s="814"/>
      <c r="E42" s="814"/>
      <c r="F42" s="814"/>
      <c r="G42" s="814"/>
      <c r="H42" s="814"/>
      <c r="I42" s="814"/>
      <c r="J42" s="815"/>
    </row>
    <row r="43" spans="1:10">
      <c r="A43" s="204">
        <f t="shared" si="0"/>
        <v>32</v>
      </c>
      <c r="B43" s="502" t="s">
        <v>613</v>
      </c>
      <c r="C43" s="813"/>
      <c r="D43" s="814"/>
      <c r="E43" s="814"/>
      <c r="F43" s="814"/>
      <c r="G43" s="814"/>
      <c r="H43" s="814"/>
      <c r="I43" s="814"/>
      <c r="J43" s="815"/>
    </row>
    <row r="44" spans="1:10">
      <c r="A44" s="204">
        <f t="shared" si="0"/>
        <v>33</v>
      </c>
      <c r="B44" s="502" t="s">
        <v>614</v>
      </c>
      <c r="C44" s="813"/>
      <c r="D44" s="814"/>
      <c r="E44" s="814"/>
      <c r="F44" s="814"/>
      <c r="G44" s="814"/>
      <c r="H44" s="814"/>
      <c r="I44" s="814"/>
      <c r="J44" s="815"/>
    </row>
    <row r="45" spans="1:10">
      <c r="A45" s="151"/>
      <c r="B45" s="151" t="s">
        <v>615</v>
      </c>
      <c r="C45" s="816"/>
      <c r="D45" s="817"/>
      <c r="E45" s="817"/>
      <c r="F45" s="817"/>
      <c r="G45" s="817"/>
      <c r="H45" s="817"/>
      <c r="I45" s="817"/>
      <c r="J45" s="818"/>
    </row>
    <row r="46" spans="1:10">
      <c r="A46" s="3"/>
      <c r="B46" s="18"/>
      <c r="C46" s="18"/>
      <c r="D46" s="10"/>
      <c r="E46" s="10"/>
      <c r="F46" s="10"/>
      <c r="G46" s="10"/>
      <c r="H46" s="10"/>
      <c r="I46" s="10"/>
      <c r="J46" s="10"/>
    </row>
    <row r="47" spans="1:10">
      <c r="A47" s="423" t="s">
        <v>682</v>
      </c>
      <c r="B47" s="18"/>
      <c r="C47" s="18"/>
      <c r="D47" s="10"/>
      <c r="E47" s="10"/>
      <c r="F47" s="10"/>
      <c r="G47" s="10"/>
      <c r="H47" s="10"/>
      <c r="I47" s="10"/>
      <c r="J47" s="10"/>
    </row>
    <row r="48" spans="1:10">
      <c r="A48" s="3"/>
      <c r="B48" s="18"/>
      <c r="C48" s="18"/>
      <c r="D48" s="10"/>
      <c r="E48" s="10"/>
      <c r="F48" s="10"/>
      <c r="G48" s="10"/>
      <c r="H48" s="10"/>
      <c r="I48" s="10"/>
      <c r="J48" s="10"/>
    </row>
    <row r="49" spans="7:10" ht="15.75">
      <c r="G49" s="761" t="s">
        <v>908</v>
      </c>
      <c r="H49" s="761"/>
      <c r="I49" s="761"/>
      <c r="J49" s="761"/>
    </row>
    <row r="50" spans="7:10" ht="15.75">
      <c r="G50" s="761" t="s">
        <v>646</v>
      </c>
      <c r="H50" s="761"/>
      <c r="I50" s="761"/>
      <c r="J50" s="761"/>
    </row>
  </sheetData>
  <mergeCells count="13">
    <mergeCell ref="G49:J49"/>
    <mergeCell ref="G50:J50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C12:J45"/>
  </mergeCells>
  <printOptions horizontalCentered="1"/>
  <pageMargins left="0.37" right="0.56000000000000005" top="0.41" bottom="0" header="0.31496062992125984" footer="0.31496062992125984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90" zoomScaleNormal="70" zoomScaleSheetLayoutView="90" workbookViewId="0"/>
  </sheetViews>
  <sheetFormatPr defaultColWidth="9.140625" defaultRowHeight="12.75"/>
  <cols>
    <col min="1" max="1" width="6.7109375" style="173" customWidth="1"/>
    <col min="2" max="2" width="19.5703125" style="173" customWidth="1"/>
    <col min="3" max="3" width="12" style="173" customWidth="1"/>
    <col min="4" max="4" width="10.42578125" style="173" customWidth="1"/>
    <col min="5" max="5" width="10.140625" style="173" customWidth="1"/>
    <col min="6" max="6" width="13" style="173" customWidth="1"/>
    <col min="7" max="7" width="15.140625" style="173" customWidth="1"/>
    <col min="8" max="8" width="12.42578125" style="173" customWidth="1"/>
    <col min="9" max="9" width="12.140625" style="173" customWidth="1"/>
    <col min="10" max="10" width="11.7109375" style="173" customWidth="1"/>
    <col min="11" max="11" width="12" style="173" customWidth="1"/>
    <col min="12" max="12" width="14.140625" style="173" customWidth="1"/>
    <col min="13" max="13" width="9.140625" style="173"/>
    <col min="14" max="14" width="10.28515625" style="173" bestFit="1" customWidth="1"/>
    <col min="15" max="16" width="9.140625" style="173"/>
    <col min="17" max="17" width="12.140625" style="173" bestFit="1" customWidth="1"/>
    <col min="18" max="16384" width="9.140625" style="173"/>
  </cols>
  <sheetData>
    <row r="1" spans="1:18" ht="15">
      <c r="D1" s="21"/>
      <c r="E1" s="21"/>
      <c r="F1" s="21"/>
      <c r="G1" s="21"/>
      <c r="H1" s="21"/>
      <c r="I1" s="21"/>
      <c r="J1" s="21"/>
      <c r="K1" s="21"/>
      <c r="L1" s="828" t="s">
        <v>59</v>
      </c>
      <c r="M1" s="828"/>
      <c r="N1" s="25"/>
      <c r="O1" s="25"/>
    </row>
    <row r="2" spans="1:18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27"/>
      <c r="N2" s="27"/>
      <c r="O2" s="27"/>
    </row>
    <row r="3" spans="1:18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26"/>
      <c r="N3" s="26"/>
      <c r="O3" s="26"/>
    </row>
    <row r="4" spans="1:18" ht="10.5" customHeight="1"/>
    <row r="5" spans="1:18" ht="19.5" customHeight="1">
      <c r="A5" s="805" t="s">
        <v>753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8">
      <c r="A7" s="699" t="s">
        <v>658</v>
      </c>
      <c r="B7" s="699"/>
      <c r="F7" s="829" t="s">
        <v>17</v>
      </c>
      <c r="G7" s="829"/>
      <c r="H7" s="829"/>
      <c r="I7" s="829"/>
      <c r="J7" s="829"/>
      <c r="K7" s="829"/>
      <c r="L7" s="829"/>
    </row>
    <row r="8" spans="1:18">
      <c r="A8" s="5"/>
      <c r="F8" s="174"/>
      <c r="G8" s="46"/>
      <c r="H8" s="46"/>
      <c r="I8" s="793" t="s">
        <v>774</v>
      </c>
      <c r="J8" s="793"/>
      <c r="K8" s="793"/>
      <c r="L8" s="793"/>
    </row>
    <row r="9" spans="1:18" s="5" customFormat="1">
      <c r="A9" s="668" t="s">
        <v>2</v>
      </c>
      <c r="B9" s="668" t="s">
        <v>3</v>
      </c>
      <c r="C9" s="677" t="s">
        <v>18</v>
      </c>
      <c r="D9" s="678"/>
      <c r="E9" s="678"/>
      <c r="F9" s="678"/>
      <c r="G9" s="678"/>
      <c r="H9" s="677" t="s">
        <v>38</v>
      </c>
      <c r="I9" s="678"/>
      <c r="J9" s="678"/>
      <c r="K9" s="678"/>
      <c r="L9" s="678"/>
      <c r="Q9" s="17"/>
      <c r="R9" s="18"/>
    </row>
    <row r="10" spans="1:18" s="5" customFormat="1" ht="77.45" customHeight="1">
      <c r="A10" s="668"/>
      <c r="B10" s="668"/>
      <c r="C10" s="525" t="s">
        <v>749</v>
      </c>
      <c r="D10" s="525" t="s">
        <v>769</v>
      </c>
      <c r="E10" s="150" t="s">
        <v>66</v>
      </c>
      <c r="F10" s="150" t="s">
        <v>67</v>
      </c>
      <c r="G10" s="150" t="s">
        <v>568</v>
      </c>
      <c r="H10" s="525" t="s">
        <v>749</v>
      </c>
      <c r="I10" s="525" t="s">
        <v>769</v>
      </c>
      <c r="J10" s="150" t="s">
        <v>66</v>
      </c>
      <c r="K10" s="150" t="s">
        <v>67</v>
      </c>
      <c r="L10" s="150" t="s">
        <v>569</v>
      </c>
    </row>
    <row r="11" spans="1:18" s="5" customFormat="1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</row>
    <row r="12" spans="1:18" s="5" customFormat="1" ht="12.75" customHeight="1">
      <c r="A12" s="204">
        <v>1</v>
      </c>
      <c r="B12" s="204" t="s">
        <v>624</v>
      </c>
      <c r="C12" s="305">
        <v>853.07</v>
      </c>
      <c r="D12" s="305">
        <v>15.62</v>
      </c>
      <c r="E12" s="305">
        <v>610.57000000000005</v>
      </c>
      <c r="F12" s="305">
        <v>555.62</v>
      </c>
      <c r="G12" s="305">
        <f>D12+E12-F12</f>
        <v>70.57000000000005</v>
      </c>
      <c r="H12" s="819" t="s">
        <v>629</v>
      </c>
      <c r="I12" s="820"/>
      <c r="J12" s="820"/>
      <c r="K12" s="820"/>
      <c r="L12" s="821"/>
      <c r="N12" s="363"/>
      <c r="O12" s="363"/>
      <c r="P12" s="363"/>
      <c r="Q12" s="363"/>
      <c r="R12" s="363"/>
    </row>
    <row r="13" spans="1:18" s="5" customFormat="1" ht="12.75" customHeight="1">
      <c r="A13" s="204">
        <f>A12+1</f>
        <v>2</v>
      </c>
      <c r="B13" s="204" t="s">
        <v>589</v>
      </c>
      <c r="C13" s="305">
        <v>888.87</v>
      </c>
      <c r="D13" s="305">
        <v>20.170000000000002</v>
      </c>
      <c r="E13" s="305">
        <v>636.20000000000005</v>
      </c>
      <c r="F13" s="305">
        <v>578.94000000000005</v>
      </c>
      <c r="G13" s="305">
        <f t="shared" ref="G13:G44" si="0">D13+E13-F13</f>
        <v>77.42999999999995</v>
      </c>
      <c r="H13" s="822"/>
      <c r="I13" s="823"/>
      <c r="J13" s="823"/>
      <c r="K13" s="823"/>
      <c r="L13" s="824"/>
      <c r="N13" s="363"/>
      <c r="O13" s="363"/>
      <c r="P13" s="363"/>
      <c r="Q13" s="363"/>
      <c r="R13" s="363"/>
    </row>
    <row r="14" spans="1:18" s="5" customFormat="1" ht="12.75" customHeight="1">
      <c r="A14" s="204">
        <f t="shared" ref="A14:A44" si="1">A13+1</f>
        <v>3</v>
      </c>
      <c r="B14" s="204" t="s">
        <v>625</v>
      </c>
      <c r="C14" s="305">
        <v>1829.97</v>
      </c>
      <c r="D14" s="305">
        <v>47.96</v>
      </c>
      <c r="E14" s="305">
        <v>1309.78</v>
      </c>
      <c r="F14" s="305">
        <v>1191.9000000000001</v>
      </c>
      <c r="G14" s="305">
        <f t="shared" si="0"/>
        <v>165.83999999999992</v>
      </c>
      <c r="H14" s="822"/>
      <c r="I14" s="823"/>
      <c r="J14" s="823"/>
      <c r="K14" s="823"/>
      <c r="L14" s="824"/>
      <c r="N14" s="363"/>
      <c r="O14" s="363"/>
      <c r="P14" s="363"/>
      <c r="Q14" s="363"/>
      <c r="R14" s="363"/>
    </row>
    <row r="15" spans="1:18" s="5" customFormat="1" ht="12.75" customHeight="1">
      <c r="A15" s="204">
        <f t="shared" si="1"/>
        <v>4</v>
      </c>
      <c r="B15" s="204" t="s">
        <v>590</v>
      </c>
      <c r="C15" s="305">
        <v>574.58000000000004</v>
      </c>
      <c r="D15" s="305">
        <v>11.12</v>
      </c>
      <c r="E15" s="305">
        <v>411.25</v>
      </c>
      <c r="F15" s="305">
        <v>374.24</v>
      </c>
      <c r="G15" s="305">
        <f t="shared" si="0"/>
        <v>48.129999999999995</v>
      </c>
      <c r="H15" s="822"/>
      <c r="I15" s="823"/>
      <c r="J15" s="823"/>
      <c r="K15" s="823"/>
      <c r="L15" s="824"/>
      <c r="N15" s="363"/>
      <c r="O15" s="363"/>
      <c r="P15" s="363"/>
      <c r="Q15" s="363"/>
      <c r="R15" s="363"/>
    </row>
    <row r="16" spans="1:18" s="5" customFormat="1" ht="12.75" customHeight="1">
      <c r="A16" s="204">
        <f t="shared" si="1"/>
        <v>5</v>
      </c>
      <c r="B16" s="204" t="s">
        <v>591</v>
      </c>
      <c r="C16" s="305">
        <v>345.56</v>
      </c>
      <c r="D16" s="305">
        <v>9.36</v>
      </c>
      <c r="E16" s="305">
        <v>247.33</v>
      </c>
      <c r="F16" s="305">
        <v>225.07</v>
      </c>
      <c r="G16" s="305">
        <f t="shared" ref="G16:G35" si="2">D16+E16-F16</f>
        <v>31.620000000000005</v>
      </c>
      <c r="H16" s="822"/>
      <c r="I16" s="823"/>
      <c r="J16" s="823"/>
      <c r="K16" s="823"/>
      <c r="L16" s="824"/>
      <c r="N16" s="363"/>
      <c r="O16" s="363"/>
      <c r="P16" s="363"/>
      <c r="Q16" s="363"/>
      <c r="R16" s="363"/>
    </row>
    <row r="17" spans="1:18" s="5" customFormat="1" ht="12.75" customHeight="1">
      <c r="A17" s="204">
        <f t="shared" si="1"/>
        <v>6</v>
      </c>
      <c r="B17" s="204" t="s">
        <v>592</v>
      </c>
      <c r="C17" s="305">
        <v>251.17</v>
      </c>
      <c r="D17" s="305">
        <v>5.51</v>
      </c>
      <c r="E17" s="305">
        <v>179.77</v>
      </c>
      <c r="F17" s="305">
        <v>163.59</v>
      </c>
      <c r="G17" s="305">
        <f t="shared" si="2"/>
        <v>21.689999999999998</v>
      </c>
      <c r="H17" s="822"/>
      <c r="I17" s="823"/>
      <c r="J17" s="823"/>
      <c r="K17" s="823"/>
      <c r="L17" s="824"/>
      <c r="N17" s="363"/>
      <c r="O17" s="363"/>
      <c r="P17" s="363"/>
      <c r="Q17" s="363"/>
      <c r="R17" s="363"/>
    </row>
    <row r="18" spans="1:18" s="5" customFormat="1" ht="12.75" customHeight="1">
      <c r="A18" s="204">
        <f t="shared" si="1"/>
        <v>7</v>
      </c>
      <c r="B18" s="204" t="s">
        <v>593</v>
      </c>
      <c r="C18" s="305">
        <v>752.15</v>
      </c>
      <c r="D18" s="305">
        <v>22.01</v>
      </c>
      <c r="E18" s="305">
        <v>538.34</v>
      </c>
      <c r="F18" s="305">
        <v>489.89</v>
      </c>
      <c r="G18" s="305">
        <f t="shared" si="2"/>
        <v>70.460000000000036</v>
      </c>
      <c r="H18" s="822"/>
      <c r="I18" s="823"/>
      <c r="J18" s="823"/>
      <c r="K18" s="823"/>
      <c r="L18" s="824"/>
      <c r="N18" s="363"/>
      <c r="O18" s="363"/>
      <c r="P18" s="363"/>
      <c r="Q18" s="363"/>
      <c r="R18" s="363"/>
    </row>
    <row r="19" spans="1:18" s="5" customFormat="1" ht="12.75" customHeight="1">
      <c r="A19" s="204">
        <f t="shared" si="1"/>
        <v>8</v>
      </c>
      <c r="B19" s="204" t="s">
        <v>594</v>
      </c>
      <c r="C19" s="305">
        <v>953.76</v>
      </c>
      <c r="D19" s="305">
        <v>17.09</v>
      </c>
      <c r="E19" s="305">
        <v>682.64</v>
      </c>
      <c r="F19" s="305">
        <v>621.21</v>
      </c>
      <c r="G19" s="305">
        <f t="shared" si="2"/>
        <v>78.519999999999982</v>
      </c>
      <c r="H19" s="822"/>
      <c r="I19" s="823"/>
      <c r="J19" s="823"/>
      <c r="K19" s="823"/>
      <c r="L19" s="824"/>
      <c r="N19" s="363"/>
      <c r="O19" s="363"/>
      <c r="P19" s="363"/>
      <c r="Q19" s="363"/>
      <c r="R19" s="363"/>
    </row>
    <row r="20" spans="1:18" s="5" customFormat="1" ht="12.75" customHeight="1">
      <c r="A20" s="204">
        <f t="shared" si="1"/>
        <v>9</v>
      </c>
      <c r="B20" s="204" t="s">
        <v>595</v>
      </c>
      <c r="C20" s="305">
        <v>407.44</v>
      </c>
      <c r="D20" s="305">
        <v>8.56</v>
      </c>
      <c r="E20" s="305">
        <v>291.62</v>
      </c>
      <c r="F20" s="305">
        <v>265.38</v>
      </c>
      <c r="G20" s="305">
        <f t="shared" si="2"/>
        <v>34.800000000000011</v>
      </c>
      <c r="H20" s="822"/>
      <c r="I20" s="823"/>
      <c r="J20" s="823"/>
      <c r="K20" s="823"/>
      <c r="L20" s="824"/>
      <c r="N20" s="363"/>
      <c r="O20" s="363"/>
      <c r="P20" s="363"/>
      <c r="Q20" s="363"/>
      <c r="R20" s="363"/>
    </row>
    <row r="21" spans="1:18" s="5" customFormat="1" ht="12.75" customHeight="1">
      <c r="A21" s="204">
        <f t="shared" si="1"/>
        <v>10</v>
      </c>
      <c r="B21" s="204" t="s">
        <v>596</v>
      </c>
      <c r="C21" s="305">
        <v>934.99</v>
      </c>
      <c r="D21" s="305">
        <v>26.54</v>
      </c>
      <c r="E21" s="305">
        <v>669.21</v>
      </c>
      <c r="F21" s="305">
        <v>608.98</v>
      </c>
      <c r="G21" s="305">
        <f t="shared" si="2"/>
        <v>86.769999999999982</v>
      </c>
      <c r="H21" s="822"/>
      <c r="I21" s="823"/>
      <c r="J21" s="823"/>
      <c r="K21" s="823"/>
      <c r="L21" s="824"/>
      <c r="N21" s="363"/>
      <c r="O21" s="363"/>
      <c r="P21" s="363"/>
      <c r="Q21" s="363"/>
      <c r="R21" s="363"/>
    </row>
    <row r="22" spans="1:18" s="5" customFormat="1" ht="12.75" customHeight="1">
      <c r="A22" s="204">
        <f t="shared" si="1"/>
        <v>11</v>
      </c>
      <c r="B22" s="204" t="s">
        <v>626</v>
      </c>
      <c r="C22" s="305">
        <v>609.25</v>
      </c>
      <c r="D22" s="305">
        <v>19.22</v>
      </c>
      <c r="E22" s="305">
        <v>436.06</v>
      </c>
      <c r="F22" s="305">
        <v>396.82</v>
      </c>
      <c r="G22" s="305">
        <f t="shared" si="2"/>
        <v>58.45999999999998</v>
      </c>
      <c r="H22" s="822"/>
      <c r="I22" s="823"/>
      <c r="J22" s="823"/>
      <c r="K22" s="823"/>
      <c r="L22" s="824"/>
      <c r="N22" s="363"/>
      <c r="O22" s="363"/>
      <c r="P22" s="363"/>
      <c r="Q22" s="363"/>
      <c r="R22" s="363"/>
    </row>
    <row r="23" spans="1:18" s="5" customFormat="1" ht="12.75" customHeight="1">
      <c r="A23" s="204">
        <f t="shared" si="1"/>
        <v>12</v>
      </c>
      <c r="B23" s="204" t="s">
        <v>597</v>
      </c>
      <c r="C23" s="305">
        <v>572.79</v>
      </c>
      <c r="D23" s="305">
        <v>12.11</v>
      </c>
      <c r="E23" s="305">
        <v>409.97</v>
      </c>
      <c r="F23" s="305">
        <v>373.07</v>
      </c>
      <c r="G23" s="305">
        <f t="shared" si="2"/>
        <v>49.010000000000048</v>
      </c>
      <c r="H23" s="822"/>
      <c r="I23" s="823"/>
      <c r="J23" s="823"/>
      <c r="K23" s="823"/>
      <c r="L23" s="824"/>
      <c r="N23" s="363"/>
      <c r="O23" s="363"/>
      <c r="P23" s="363"/>
      <c r="Q23" s="363"/>
      <c r="R23" s="363"/>
    </row>
    <row r="24" spans="1:18" s="5" customFormat="1" ht="12.75" customHeight="1">
      <c r="A24" s="204">
        <f t="shared" si="1"/>
        <v>13</v>
      </c>
      <c r="B24" s="204" t="s">
        <v>598</v>
      </c>
      <c r="C24" s="305">
        <v>863.3</v>
      </c>
      <c r="D24" s="305">
        <v>23.16</v>
      </c>
      <c r="E24" s="305">
        <v>617.9</v>
      </c>
      <c r="F24" s="305">
        <v>562.29</v>
      </c>
      <c r="G24" s="305">
        <f t="shared" si="2"/>
        <v>78.769999999999982</v>
      </c>
      <c r="H24" s="822"/>
      <c r="I24" s="823"/>
      <c r="J24" s="823"/>
      <c r="K24" s="823"/>
      <c r="L24" s="824"/>
      <c r="N24" s="363"/>
      <c r="O24" s="363"/>
      <c r="P24" s="363"/>
      <c r="Q24" s="363"/>
      <c r="R24" s="363"/>
    </row>
    <row r="25" spans="1:18" s="5" customFormat="1" ht="12.75" customHeight="1">
      <c r="A25" s="204">
        <f t="shared" si="1"/>
        <v>14</v>
      </c>
      <c r="B25" s="204" t="s">
        <v>627</v>
      </c>
      <c r="C25" s="305">
        <v>466.97</v>
      </c>
      <c r="D25" s="305">
        <v>13.97</v>
      </c>
      <c r="E25" s="305">
        <v>334.23</v>
      </c>
      <c r="F25" s="305">
        <v>304.14999999999998</v>
      </c>
      <c r="G25" s="305">
        <f t="shared" si="2"/>
        <v>44.050000000000068</v>
      </c>
      <c r="H25" s="822"/>
      <c r="I25" s="823"/>
      <c r="J25" s="823"/>
      <c r="K25" s="823"/>
      <c r="L25" s="824"/>
      <c r="N25" s="363"/>
      <c r="O25" s="363"/>
      <c r="P25" s="363"/>
      <c r="Q25" s="363"/>
      <c r="R25" s="363"/>
    </row>
    <row r="26" spans="1:18" s="5" customFormat="1" ht="12.75" customHeight="1">
      <c r="A26" s="204">
        <f t="shared" si="1"/>
        <v>15</v>
      </c>
      <c r="B26" s="204" t="s">
        <v>599</v>
      </c>
      <c r="C26" s="305">
        <v>820.73</v>
      </c>
      <c r="D26" s="305">
        <v>20</v>
      </c>
      <c r="E26" s="305">
        <v>587.42999999999995</v>
      </c>
      <c r="F26" s="305">
        <v>534.55999999999995</v>
      </c>
      <c r="G26" s="305">
        <f t="shared" si="2"/>
        <v>72.87</v>
      </c>
      <c r="H26" s="822"/>
      <c r="I26" s="823"/>
      <c r="J26" s="823"/>
      <c r="K26" s="823"/>
      <c r="L26" s="824"/>
      <c r="N26" s="363"/>
      <c r="O26" s="363"/>
      <c r="P26" s="363"/>
      <c r="Q26" s="363"/>
      <c r="R26" s="363"/>
    </row>
    <row r="27" spans="1:18" s="5" customFormat="1" ht="12.75" customHeight="1">
      <c r="A27" s="204">
        <f t="shared" si="1"/>
        <v>16</v>
      </c>
      <c r="B27" s="204" t="s">
        <v>600</v>
      </c>
      <c r="C27" s="305">
        <v>845.89</v>
      </c>
      <c r="D27" s="305">
        <v>18.16</v>
      </c>
      <c r="E27" s="305">
        <v>605.42999999999995</v>
      </c>
      <c r="F27" s="305">
        <v>550.95000000000005</v>
      </c>
      <c r="G27" s="305">
        <f t="shared" si="2"/>
        <v>72.639999999999873</v>
      </c>
      <c r="H27" s="822"/>
      <c r="I27" s="823"/>
      <c r="J27" s="823"/>
      <c r="K27" s="823"/>
      <c r="L27" s="824"/>
      <c r="N27" s="363"/>
      <c r="O27" s="363"/>
      <c r="P27" s="363"/>
      <c r="Q27" s="363"/>
      <c r="R27" s="363"/>
    </row>
    <row r="28" spans="1:18" s="5" customFormat="1" ht="12.75" customHeight="1">
      <c r="A28" s="204">
        <f t="shared" si="1"/>
        <v>17</v>
      </c>
      <c r="B28" s="529" t="s">
        <v>684</v>
      </c>
      <c r="C28" s="305">
        <v>243.89</v>
      </c>
      <c r="D28" s="305">
        <v>6.32</v>
      </c>
      <c r="E28" s="305">
        <v>174.56</v>
      </c>
      <c r="F28" s="305">
        <v>158.85</v>
      </c>
      <c r="G28" s="305">
        <f t="shared" si="2"/>
        <v>22.03</v>
      </c>
      <c r="H28" s="822"/>
      <c r="I28" s="823"/>
      <c r="J28" s="823"/>
      <c r="K28" s="823"/>
      <c r="L28" s="824"/>
      <c r="N28" s="363"/>
      <c r="O28" s="363"/>
      <c r="P28" s="363"/>
      <c r="Q28" s="363"/>
      <c r="R28" s="363"/>
    </row>
    <row r="29" spans="1:18" ht="12.75" customHeight="1">
      <c r="A29" s="204">
        <f t="shared" si="1"/>
        <v>18</v>
      </c>
      <c r="B29" s="204" t="s">
        <v>601</v>
      </c>
      <c r="C29" s="305">
        <v>711.62</v>
      </c>
      <c r="D29" s="305">
        <v>17.03</v>
      </c>
      <c r="E29" s="305">
        <v>509.33</v>
      </c>
      <c r="F29" s="305">
        <v>463.49</v>
      </c>
      <c r="G29" s="305">
        <f t="shared" si="2"/>
        <v>62.870000000000005</v>
      </c>
      <c r="H29" s="822"/>
      <c r="I29" s="823"/>
      <c r="J29" s="823"/>
      <c r="K29" s="823"/>
      <c r="L29" s="824"/>
      <c r="N29" s="363"/>
      <c r="O29" s="363"/>
      <c r="P29" s="363"/>
      <c r="Q29" s="363"/>
      <c r="R29" s="363"/>
    </row>
    <row r="30" spans="1:18" ht="12.75" customHeight="1">
      <c r="A30" s="204">
        <f t="shared" si="1"/>
        <v>19</v>
      </c>
      <c r="B30" s="204" t="s">
        <v>602</v>
      </c>
      <c r="C30" s="305">
        <v>1124.47</v>
      </c>
      <c r="D30" s="305">
        <v>27.11</v>
      </c>
      <c r="E30" s="305">
        <v>804.83</v>
      </c>
      <c r="F30" s="305">
        <v>732.39</v>
      </c>
      <c r="G30" s="305">
        <f t="shared" si="2"/>
        <v>99.550000000000068</v>
      </c>
      <c r="H30" s="822"/>
      <c r="I30" s="823"/>
      <c r="J30" s="823"/>
      <c r="K30" s="823"/>
      <c r="L30" s="824"/>
      <c r="N30" s="363"/>
      <c r="O30" s="363"/>
      <c r="P30" s="363"/>
      <c r="Q30" s="363"/>
      <c r="R30" s="363"/>
    </row>
    <row r="31" spans="1:18" s="527" customFormat="1" ht="12.75" customHeight="1">
      <c r="A31" s="204">
        <f t="shared" si="1"/>
        <v>20</v>
      </c>
      <c r="B31" s="529" t="s">
        <v>683</v>
      </c>
      <c r="C31" s="305">
        <v>667.2</v>
      </c>
      <c r="D31" s="305">
        <v>17</v>
      </c>
      <c r="E31" s="305">
        <v>477.54</v>
      </c>
      <c r="F31" s="305">
        <v>434.56</v>
      </c>
      <c r="G31" s="305">
        <f t="shared" si="2"/>
        <v>59.980000000000018</v>
      </c>
      <c r="H31" s="822"/>
      <c r="I31" s="823"/>
      <c r="J31" s="823"/>
      <c r="K31" s="823"/>
      <c r="L31" s="824"/>
      <c r="N31" s="363"/>
      <c r="O31" s="363"/>
      <c r="P31" s="363"/>
      <c r="Q31" s="363"/>
      <c r="R31" s="363"/>
    </row>
    <row r="32" spans="1:18" ht="12.75" customHeight="1">
      <c r="A32" s="204">
        <f t="shared" si="1"/>
        <v>21</v>
      </c>
      <c r="B32" s="529" t="s">
        <v>628</v>
      </c>
      <c r="C32" s="305">
        <v>583.19000000000005</v>
      </c>
      <c r="D32" s="305">
        <v>12.3</v>
      </c>
      <c r="E32" s="305">
        <v>417.41</v>
      </c>
      <c r="F32" s="305">
        <v>379.85</v>
      </c>
      <c r="G32" s="305">
        <f t="shared" si="2"/>
        <v>49.860000000000014</v>
      </c>
      <c r="H32" s="822"/>
      <c r="I32" s="823"/>
      <c r="J32" s="823"/>
      <c r="K32" s="823"/>
      <c r="L32" s="824"/>
      <c r="N32" s="363"/>
      <c r="O32" s="363"/>
      <c r="P32" s="363"/>
      <c r="Q32" s="363"/>
      <c r="R32" s="363"/>
    </row>
    <row r="33" spans="1:18" ht="12.75" customHeight="1">
      <c r="A33" s="204">
        <f t="shared" si="1"/>
        <v>22</v>
      </c>
      <c r="B33" s="204" t="s">
        <v>603</v>
      </c>
      <c r="C33" s="305">
        <v>1149.96</v>
      </c>
      <c r="D33" s="305">
        <v>24</v>
      </c>
      <c r="E33" s="305">
        <v>823.07</v>
      </c>
      <c r="F33" s="305">
        <v>749</v>
      </c>
      <c r="G33" s="305">
        <f t="shared" si="2"/>
        <v>98.07000000000005</v>
      </c>
      <c r="H33" s="822"/>
      <c r="I33" s="823"/>
      <c r="J33" s="823"/>
      <c r="K33" s="823"/>
      <c r="L33" s="824"/>
      <c r="N33" s="363"/>
      <c r="O33" s="363"/>
      <c r="P33" s="363"/>
      <c r="Q33" s="363"/>
      <c r="R33" s="363"/>
    </row>
    <row r="34" spans="1:18" ht="12.75" customHeight="1">
      <c r="A34" s="204">
        <f t="shared" si="1"/>
        <v>23</v>
      </c>
      <c r="B34" s="204" t="s">
        <v>604</v>
      </c>
      <c r="C34" s="305">
        <v>322.22000000000003</v>
      </c>
      <c r="D34" s="305">
        <v>8.1199999999999992</v>
      </c>
      <c r="E34" s="305">
        <v>230.63</v>
      </c>
      <c r="F34" s="305">
        <v>209.87</v>
      </c>
      <c r="G34" s="305">
        <f t="shared" si="2"/>
        <v>28.879999999999995</v>
      </c>
      <c r="H34" s="822"/>
      <c r="I34" s="823"/>
      <c r="J34" s="823"/>
      <c r="K34" s="823"/>
      <c r="L34" s="824"/>
      <c r="N34" s="363"/>
      <c r="O34" s="363"/>
      <c r="P34" s="363"/>
      <c r="Q34" s="363"/>
      <c r="R34" s="363"/>
    </row>
    <row r="35" spans="1:18" ht="12.75" customHeight="1">
      <c r="A35" s="204">
        <f t="shared" si="1"/>
        <v>24</v>
      </c>
      <c r="B35" s="204" t="s">
        <v>605</v>
      </c>
      <c r="C35" s="305">
        <v>384.01</v>
      </c>
      <c r="D35" s="305">
        <v>9.16</v>
      </c>
      <c r="E35" s="305">
        <v>274.85000000000002</v>
      </c>
      <c r="F35" s="305">
        <v>250.11</v>
      </c>
      <c r="G35" s="305">
        <f t="shared" si="2"/>
        <v>33.900000000000034</v>
      </c>
      <c r="H35" s="822"/>
      <c r="I35" s="823"/>
      <c r="J35" s="823"/>
      <c r="K35" s="823"/>
      <c r="L35" s="824"/>
      <c r="N35" s="363"/>
      <c r="O35" s="363"/>
      <c r="P35" s="363"/>
      <c r="Q35" s="363"/>
      <c r="R35" s="363"/>
    </row>
    <row r="36" spans="1:18" ht="12.75" customHeight="1">
      <c r="A36" s="204">
        <f t="shared" si="1"/>
        <v>25</v>
      </c>
      <c r="B36" s="204" t="s">
        <v>606</v>
      </c>
      <c r="C36" s="305">
        <v>1533.05</v>
      </c>
      <c r="D36" s="305">
        <v>34</v>
      </c>
      <c r="E36" s="305">
        <v>1097.26</v>
      </c>
      <c r="F36" s="305">
        <v>998.51</v>
      </c>
      <c r="G36" s="305">
        <f t="shared" si="0"/>
        <v>132.75</v>
      </c>
      <c r="H36" s="822"/>
      <c r="I36" s="823"/>
      <c r="J36" s="823"/>
      <c r="K36" s="823"/>
      <c r="L36" s="824"/>
      <c r="N36" s="363"/>
      <c r="O36" s="363"/>
      <c r="P36" s="363"/>
      <c r="Q36" s="363"/>
      <c r="R36" s="363"/>
    </row>
    <row r="37" spans="1:18" ht="12.75" customHeight="1">
      <c r="A37" s="204">
        <f t="shared" si="1"/>
        <v>26</v>
      </c>
      <c r="B37" s="204" t="s">
        <v>607</v>
      </c>
      <c r="C37" s="305">
        <v>1236.8800000000001</v>
      </c>
      <c r="D37" s="305">
        <v>25</v>
      </c>
      <c r="E37" s="305">
        <v>885.28</v>
      </c>
      <c r="F37" s="305">
        <v>805.61</v>
      </c>
      <c r="G37" s="305">
        <f t="shared" si="0"/>
        <v>104.66999999999996</v>
      </c>
      <c r="H37" s="822"/>
      <c r="I37" s="823"/>
      <c r="J37" s="823"/>
      <c r="K37" s="823"/>
      <c r="L37" s="824"/>
      <c r="N37" s="363"/>
      <c r="O37" s="363"/>
      <c r="P37" s="363"/>
      <c r="Q37" s="363"/>
      <c r="R37" s="363"/>
    </row>
    <row r="38" spans="1:18" ht="12.75" customHeight="1">
      <c r="A38" s="204">
        <f t="shared" si="1"/>
        <v>27</v>
      </c>
      <c r="B38" s="204" t="s">
        <v>608</v>
      </c>
      <c r="C38" s="305">
        <v>814.67</v>
      </c>
      <c r="D38" s="305">
        <v>23</v>
      </c>
      <c r="E38" s="305">
        <v>583.09</v>
      </c>
      <c r="F38" s="305">
        <v>530.61</v>
      </c>
      <c r="G38" s="305">
        <f t="shared" si="0"/>
        <v>75.480000000000018</v>
      </c>
      <c r="H38" s="822"/>
      <c r="I38" s="823"/>
      <c r="J38" s="823"/>
      <c r="K38" s="823"/>
      <c r="L38" s="824"/>
      <c r="N38" s="363"/>
      <c r="O38" s="363"/>
      <c r="P38" s="363"/>
      <c r="Q38" s="363"/>
      <c r="R38" s="363"/>
    </row>
    <row r="39" spans="1:18" ht="12.75" customHeight="1">
      <c r="A39" s="204">
        <f t="shared" si="1"/>
        <v>28</v>
      </c>
      <c r="B39" s="204" t="s">
        <v>609</v>
      </c>
      <c r="C39" s="305">
        <v>633.46</v>
      </c>
      <c r="D39" s="305">
        <v>19</v>
      </c>
      <c r="E39" s="305">
        <v>453.39</v>
      </c>
      <c r="F39" s="305">
        <v>412.59</v>
      </c>
      <c r="G39" s="305">
        <f t="shared" si="0"/>
        <v>59.800000000000011</v>
      </c>
      <c r="H39" s="822"/>
      <c r="I39" s="823"/>
      <c r="J39" s="823"/>
      <c r="K39" s="823"/>
      <c r="L39" s="824"/>
      <c r="N39" s="363"/>
      <c r="O39" s="363"/>
      <c r="P39" s="363"/>
      <c r="Q39" s="363"/>
      <c r="R39" s="363"/>
    </row>
    <row r="40" spans="1:18" ht="12.75" customHeight="1">
      <c r="A40" s="204">
        <f t="shared" si="1"/>
        <v>29</v>
      </c>
      <c r="B40" s="204" t="s">
        <v>610</v>
      </c>
      <c r="C40" s="305">
        <v>1016.16</v>
      </c>
      <c r="D40" s="305">
        <v>20</v>
      </c>
      <c r="E40" s="305">
        <v>727.3</v>
      </c>
      <c r="F40" s="305">
        <v>661.85</v>
      </c>
      <c r="G40" s="305">
        <f t="shared" si="0"/>
        <v>85.449999999999932</v>
      </c>
      <c r="H40" s="822"/>
      <c r="I40" s="823"/>
      <c r="J40" s="823"/>
      <c r="K40" s="823"/>
      <c r="L40" s="824"/>
      <c r="N40" s="363"/>
      <c r="O40" s="363"/>
      <c r="P40" s="363"/>
      <c r="Q40" s="363"/>
      <c r="R40" s="363"/>
    </row>
    <row r="41" spans="1:18" ht="12.75" customHeight="1">
      <c r="A41" s="204">
        <f t="shared" si="1"/>
        <v>30</v>
      </c>
      <c r="B41" s="502" t="s">
        <v>611</v>
      </c>
      <c r="C41" s="305">
        <v>496.57</v>
      </c>
      <c r="D41" s="305">
        <v>11.12</v>
      </c>
      <c r="E41" s="305">
        <v>355.41</v>
      </c>
      <c r="F41" s="305">
        <v>323.43</v>
      </c>
      <c r="G41" s="305">
        <f t="shared" si="0"/>
        <v>43.100000000000023</v>
      </c>
      <c r="H41" s="822"/>
      <c r="I41" s="823"/>
      <c r="J41" s="823"/>
      <c r="K41" s="823"/>
      <c r="L41" s="824"/>
      <c r="N41" s="363"/>
      <c r="O41" s="363"/>
      <c r="P41" s="363"/>
      <c r="Q41" s="363"/>
      <c r="R41" s="363"/>
    </row>
    <row r="42" spans="1:18" ht="12.75" customHeight="1">
      <c r="A42" s="204">
        <f t="shared" si="1"/>
        <v>31</v>
      </c>
      <c r="B42" s="502" t="s">
        <v>612</v>
      </c>
      <c r="C42" s="305">
        <v>390.56</v>
      </c>
      <c r="D42" s="305">
        <v>10.16</v>
      </c>
      <c r="E42" s="305">
        <v>279.54000000000002</v>
      </c>
      <c r="F42" s="305">
        <v>254.38</v>
      </c>
      <c r="G42" s="305">
        <f t="shared" si="0"/>
        <v>35.32000000000005</v>
      </c>
      <c r="H42" s="822"/>
      <c r="I42" s="823"/>
      <c r="J42" s="823"/>
      <c r="K42" s="823"/>
      <c r="L42" s="824"/>
      <c r="N42" s="363"/>
      <c r="O42" s="363"/>
      <c r="P42" s="363"/>
      <c r="Q42" s="363"/>
      <c r="R42" s="363"/>
    </row>
    <row r="43" spans="1:18" ht="12.75" customHeight="1">
      <c r="A43" s="204">
        <f t="shared" si="1"/>
        <v>32</v>
      </c>
      <c r="B43" s="502" t="s">
        <v>613</v>
      </c>
      <c r="C43" s="305">
        <v>495.11</v>
      </c>
      <c r="D43" s="305">
        <v>12.11</v>
      </c>
      <c r="E43" s="305">
        <v>354.37</v>
      </c>
      <c r="F43" s="305">
        <v>322.48</v>
      </c>
      <c r="G43" s="305">
        <f t="shared" si="0"/>
        <v>44</v>
      </c>
      <c r="H43" s="822"/>
      <c r="I43" s="823"/>
      <c r="J43" s="823"/>
      <c r="K43" s="823"/>
      <c r="L43" s="824"/>
      <c r="N43" s="363"/>
      <c r="O43" s="363"/>
      <c r="P43" s="363"/>
      <c r="Q43" s="363"/>
      <c r="R43" s="363"/>
    </row>
    <row r="44" spans="1:18" ht="12.75" customHeight="1">
      <c r="A44" s="204">
        <f t="shared" si="1"/>
        <v>33</v>
      </c>
      <c r="B44" s="502" t="s">
        <v>614</v>
      </c>
      <c r="C44" s="305">
        <v>428.74</v>
      </c>
      <c r="D44" s="305">
        <v>10.41</v>
      </c>
      <c r="E44" s="305">
        <v>306.87</v>
      </c>
      <c r="F44" s="305">
        <v>279.26</v>
      </c>
      <c r="G44" s="305">
        <f t="shared" si="0"/>
        <v>38.020000000000039</v>
      </c>
      <c r="H44" s="822"/>
      <c r="I44" s="823"/>
      <c r="J44" s="823"/>
      <c r="K44" s="823"/>
      <c r="L44" s="824"/>
      <c r="N44" s="363"/>
      <c r="O44" s="363"/>
      <c r="P44" s="363"/>
      <c r="Q44" s="363"/>
      <c r="R44" s="363"/>
    </row>
    <row r="45" spans="1:18" s="5" customFormat="1">
      <c r="A45" s="274"/>
      <c r="B45" s="274" t="s">
        <v>615</v>
      </c>
      <c r="C45" s="307">
        <f>SUM(C12:C44)</f>
        <v>24202.249999999996</v>
      </c>
      <c r="D45" s="307">
        <f>SUM(D12:D44)</f>
        <v>576.4</v>
      </c>
      <c r="E45" s="307">
        <f>SUM(E12:E44)</f>
        <v>17322.46</v>
      </c>
      <c r="F45" s="307">
        <f>SUM(F12:F44)</f>
        <v>15763.500000000002</v>
      </c>
      <c r="G45" s="307">
        <f>SUM(G12:G44)</f>
        <v>2135.3600000000006</v>
      </c>
      <c r="H45" s="825"/>
      <c r="I45" s="826"/>
      <c r="J45" s="826"/>
      <c r="K45" s="826"/>
      <c r="L45" s="827"/>
      <c r="O45" s="346"/>
      <c r="Q45" s="346"/>
    </row>
    <row r="46" spans="1:18">
      <c r="A46" s="9" t="s">
        <v>570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 s="363"/>
    </row>
    <row r="47" spans="1:18">
      <c r="A47" s="5"/>
      <c r="C47" s="346"/>
      <c r="D47" s="346"/>
      <c r="E47" s="346"/>
      <c r="F47" s="346"/>
      <c r="G47" s="346"/>
    </row>
    <row r="48" spans="1:18" ht="15.75">
      <c r="G48" s="363"/>
      <c r="I48" s="761" t="s">
        <v>908</v>
      </c>
      <c r="J48" s="761"/>
      <c r="K48" s="761"/>
      <c r="L48" s="761"/>
    </row>
    <row r="49" spans="9:12" ht="15.75">
      <c r="I49" s="761" t="s">
        <v>646</v>
      </c>
      <c r="J49" s="761"/>
      <c r="K49" s="761"/>
      <c r="L49" s="761"/>
    </row>
  </sheetData>
  <mergeCells count="14">
    <mergeCell ref="I48:L48"/>
    <mergeCell ref="I49:L49"/>
    <mergeCell ref="H12:L45"/>
    <mergeCell ref="L1:M1"/>
    <mergeCell ref="A3:L3"/>
    <mergeCell ref="A2:L2"/>
    <mergeCell ref="A5:L5"/>
    <mergeCell ref="A7:B7"/>
    <mergeCell ref="F7:L7"/>
    <mergeCell ref="A9:A10"/>
    <mergeCell ref="B9:B10"/>
    <mergeCell ref="C9:G9"/>
    <mergeCell ref="H9:L9"/>
    <mergeCell ref="I8:L8"/>
  </mergeCells>
  <phoneticPr fontId="0" type="noConversion"/>
  <printOptions horizontalCentered="1"/>
  <pageMargins left="0.4" right="0.4" top="0.47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Normal="70" zoomScaleSheetLayoutView="90" workbookViewId="0">
      <selection activeCell="M29" sqref="M29"/>
    </sheetView>
  </sheetViews>
  <sheetFormatPr defaultRowHeight="12.75"/>
  <sheetData>
    <row r="2" spans="2:8">
      <c r="B2" s="5"/>
    </row>
    <row r="4" spans="2:8" ht="12.75" customHeight="1">
      <c r="B4" s="664"/>
      <c r="C4" s="664"/>
      <c r="D4" s="664"/>
      <c r="E4" s="664"/>
      <c r="F4" s="664"/>
      <c r="G4" s="664"/>
      <c r="H4" s="664"/>
    </row>
    <row r="5" spans="2:8" ht="12.75" customHeight="1">
      <c r="B5" s="664"/>
      <c r="C5" s="664"/>
      <c r="D5" s="664"/>
      <c r="E5" s="664"/>
      <c r="F5" s="664"/>
      <c r="G5" s="664"/>
      <c r="H5" s="664"/>
    </row>
    <row r="6" spans="2:8" ht="12.75" customHeight="1">
      <c r="B6" s="664"/>
      <c r="C6" s="664"/>
      <c r="D6" s="664"/>
      <c r="E6" s="664"/>
      <c r="F6" s="664"/>
      <c r="G6" s="664"/>
      <c r="H6" s="664"/>
    </row>
    <row r="7" spans="2:8" ht="12.75" customHeight="1">
      <c r="B7" s="664"/>
      <c r="C7" s="664"/>
      <c r="D7" s="664"/>
      <c r="E7" s="664"/>
      <c r="F7" s="664"/>
      <c r="G7" s="664"/>
      <c r="H7" s="664"/>
    </row>
    <row r="8" spans="2:8" ht="12.75" customHeight="1">
      <c r="B8" s="664"/>
      <c r="C8" s="664"/>
      <c r="D8" s="664"/>
      <c r="E8" s="664"/>
      <c r="F8" s="664"/>
      <c r="G8" s="664"/>
      <c r="H8" s="664"/>
    </row>
    <row r="9" spans="2:8" ht="12.75" customHeight="1">
      <c r="B9" s="664"/>
      <c r="C9" s="664"/>
      <c r="D9" s="664"/>
      <c r="E9" s="664"/>
      <c r="F9" s="664"/>
      <c r="G9" s="664"/>
      <c r="H9" s="664"/>
    </row>
    <row r="10" spans="2:8" ht="12.75" customHeight="1">
      <c r="B10" s="664"/>
      <c r="C10" s="664"/>
      <c r="D10" s="664"/>
      <c r="E10" s="664"/>
      <c r="F10" s="664"/>
      <c r="G10" s="664"/>
      <c r="H10" s="664"/>
    </row>
    <row r="11" spans="2:8" ht="12.75" customHeight="1">
      <c r="B11" s="664"/>
      <c r="C11" s="664"/>
      <c r="D11" s="664"/>
      <c r="E11" s="664"/>
      <c r="F11" s="664"/>
      <c r="G11" s="664"/>
      <c r="H11" s="664"/>
    </row>
    <row r="12" spans="2:8" ht="12.75" customHeight="1">
      <c r="B12" s="664"/>
      <c r="C12" s="664"/>
      <c r="D12" s="664"/>
      <c r="E12" s="664"/>
      <c r="F12" s="664"/>
      <c r="G12" s="664"/>
      <c r="H12" s="664"/>
    </row>
    <row r="13" spans="2:8" ht="12.75" customHeight="1">
      <c r="B13" s="664"/>
      <c r="C13" s="664"/>
      <c r="D13" s="664"/>
      <c r="E13" s="664"/>
      <c r="F13" s="664"/>
      <c r="G13" s="664"/>
      <c r="H13" s="664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90" zoomScaleNormal="70" zoomScaleSheetLayoutView="90" workbookViewId="0"/>
  </sheetViews>
  <sheetFormatPr defaultColWidth="9.140625" defaultRowHeight="12.75"/>
  <cols>
    <col min="1" max="1" width="6" style="173" customWidth="1"/>
    <col min="2" max="2" width="19.7109375" style="173" customWidth="1"/>
    <col min="3" max="3" width="10.5703125" style="173" customWidth="1"/>
    <col min="4" max="4" width="9.85546875" style="173" customWidth="1"/>
    <col min="5" max="5" width="8.7109375" style="173" customWidth="1"/>
    <col min="6" max="6" width="10.85546875" style="173" customWidth="1"/>
    <col min="7" max="7" width="13.140625" style="173" customWidth="1"/>
    <col min="8" max="8" width="12.42578125" style="173" customWidth="1"/>
    <col min="9" max="9" width="12.140625" style="173" customWidth="1"/>
    <col min="10" max="10" width="9" style="173" customWidth="1"/>
    <col min="11" max="11" width="12" style="173" customWidth="1"/>
    <col min="12" max="12" width="13.7109375" style="173" customWidth="1"/>
    <col min="13" max="13" width="9.140625" style="173" hidden="1" customWidth="1"/>
    <col min="14" max="16384" width="9.140625" style="173"/>
  </cols>
  <sheetData>
    <row r="1" spans="1:18">
      <c r="D1" s="21"/>
      <c r="E1" s="21"/>
      <c r="F1" s="21"/>
      <c r="G1" s="21"/>
      <c r="H1" s="21"/>
      <c r="I1" s="21"/>
      <c r="J1" s="21"/>
      <c r="K1" s="21"/>
      <c r="L1" s="830" t="s">
        <v>68</v>
      </c>
      <c r="M1" s="830"/>
      <c r="N1" s="830"/>
    </row>
    <row r="2" spans="1:18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27"/>
      <c r="N2" s="27"/>
    </row>
    <row r="3" spans="1:18" ht="20.25">
      <c r="A3" s="807" t="s">
        <v>737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26"/>
      <c r="N3" s="26"/>
    </row>
    <row r="4" spans="1:18" ht="10.5" customHeight="1"/>
    <row r="5" spans="1:18" ht="19.5" customHeight="1">
      <c r="A5" s="805" t="s">
        <v>752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8">
      <c r="A7" s="699" t="s">
        <v>658</v>
      </c>
      <c r="B7" s="699"/>
      <c r="F7" s="829" t="s">
        <v>17</v>
      </c>
      <c r="G7" s="829"/>
      <c r="H7" s="829"/>
      <c r="I7" s="829"/>
      <c r="J7" s="829"/>
      <c r="K7" s="829"/>
      <c r="L7" s="829"/>
    </row>
    <row r="8" spans="1:18">
      <c r="A8" s="5"/>
      <c r="F8" s="174"/>
      <c r="G8" s="46"/>
      <c r="H8" s="46"/>
      <c r="I8" s="793" t="s">
        <v>774</v>
      </c>
      <c r="J8" s="793"/>
      <c r="K8" s="793"/>
      <c r="L8" s="793"/>
    </row>
    <row r="9" spans="1:18" s="5" customFormat="1">
      <c r="A9" s="668" t="s">
        <v>2</v>
      </c>
      <c r="B9" s="668" t="s">
        <v>3</v>
      </c>
      <c r="C9" s="677" t="s">
        <v>18</v>
      </c>
      <c r="D9" s="678"/>
      <c r="E9" s="678"/>
      <c r="F9" s="678"/>
      <c r="G9" s="678"/>
      <c r="H9" s="677" t="s">
        <v>38</v>
      </c>
      <c r="I9" s="678"/>
      <c r="J9" s="678"/>
      <c r="K9" s="678"/>
      <c r="L9" s="678"/>
      <c r="P9" s="17"/>
      <c r="Q9" s="18"/>
    </row>
    <row r="10" spans="1:18" s="5" customFormat="1" ht="77.45" customHeight="1">
      <c r="A10" s="668"/>
      <c r="B10" s="668"/>
      <c r="C10" s="525" t="s">
        <v>749</v>
      </c>
      <c r="D10" s="442" t="s">
        <v>704</v>
      </c>
      <c r="E10" s="150" t="s">
        <v>66</v>
      </c>
      <c r="F10" s="150" t="s">
        <v>67</v>
      </c>
      <c r="G10" s="150" t="s">
        <v>571</v>
      </c>
      <c r="H10" s="525" t="s">
        <v>749</v>
      </c>
      <c r="I10" s="442" t="s">
        <v>704</v>
      </c>
      <c r="J10" s="150" t="s">
        <v>66</v>
      </c>
      <c r="K10" s="150" t="s">
        <v>67</v>
      </c>
      <c r="L10" s="150" t="s">
        <v>572</v>
      </c>
    </row>
    <row r="11" spans="1:18" s="5" customFormat="1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</row>
    <row r="12" spans="1:18" s="5" customFormat="1" ht="12.75" customHeight="1">
      <c r="A12" s="204">
        <v>1</v>
      </c>
      <c r="B12" s="204" t="s">
        <v>624</v>
      </c>
      <c r="C12" s="305">
        <v>575.76</v>
      </c>
      <c r="D12" s="305">
        <v>40.35</v>
      </c>
      <c r="E12" s="305">
        <v>404.37</v>
      </c>
      <c r="F12" s="305">
        <v>353.25</v>
      </c>
      <c r="G12" s="305">
        <f>SUM(D12+E12-F12)</f>
        <v>91.470000000000027</v>
      </c>
      <c r="H12" s="819" t="s">
        <v>629</v>
      </c>
      <c r="I12" s="820"/>
      <c r="J12" s="820"/>
      <c r="K12" s="820"/>
      <c r="L12" s="821"/>
      <c r="O12" s="363"/>
      <c r="P12" s="363"/>
      <c r="Q12" s="363"/>
      <c r="R12" s="363"/>
    </row>
    <row r="13" spans="1:18" s="5" customFormat="1" ht="12.75" customHeight="1">
      <c r="A13" s="204">
        <f>A12+1</f>
        <v>2</v>
      </c>
      <c r="B13" s="204" t="s">
        <v>589</v>
      </c>
      <c r="C13" s="305">
        <v>575.41999999999996</v>
      </c>
      <c r="D13" s="305">
        <v>36</v>
      </c>
      <c r="E13" s="305">
        <v>404.13</v>
      </c>
      <c r="F13" s="305">
        <v>356.11</v>
      </c>
      <c r="G13" s="305">
        <f t="shared" ref="G13:G44" si="0">SUM(D13+E13-F13)</f>
        <v>84.019999999999982</v>
      </c>
      <c r="H13" s="822"/>
      <c r="I13" s="823"/>
      <c r="J13" s="823"/>
      <c r="K13" s="823"/>
      <c r="L13" s="824"/>
      <c r="O13" s="363"/>
      <c r="P13" s="363"/>
      <c r="Q13" s="363"/>
      <c r="R13" s="363"/>
    </row>
    <row r="14" spans="1:18" s="5" customFormat="1" ht="12.75" customHeight="1">
      <c r="A14" s="204">
        <f t="shared" ref="A14:A44" si="1">A13+1</f>
        <v>3</v>
      </c>
      <c r="B14" s="204" t="s">
        <v>625</v>
      </c>
      <c r="C14" s="305">
        <v>1455.96</v>
      </c>
      <c r="D14" s="305">
        <v>80</v>
      </c>
      <c r="E14" s="305">
        <v>1022.56</v>
      </c>
      <c r="F14" s="305">
        <v>893.28</v>
      </c>
      <c r="G14" s="305">
        <f t="shared" ref="G14:G33" si="2">SUM(D14+E14-F14)</f>
        <v>209.27999999999997</v>
      </c>
      <c r="H14" s="822"/>
      <c r="I14" s="823"/>
      <c r="J14" s="823"/>
      <c r="K14" s="823"/>
      <c r="L14" s="824"/>
      <c r="O14" s="363"/>
      <c r="P14" s="363"/>
      <c r="Q14" s="363"/>
      <c r="R14" s="363"/>
    </row>
    <row r="15" spans="1:18" s="5" customFormat="1" ht="12.75" customHeight="1">
      <c r="A15" s="204">
        <f t="shared" si="1"/>
        <v>4</v>
      </c>
      <c r="B15" s="204" t="s">
        <v>590</v>
      </c>
      <c r="C15" s="305">
        <v>629.41999999999996</v>
      </c>
      <c r="D15" s="305">
        <v>36</v>
      </c>
      <c r="E15" s="305">
        <v>442.06</v>
      </c>
      <c r="F15" s="305">
        <v>386.17</v>
      </c>
      <c r="G15" s="305">
        <f t="shared" si="2"/>
        <v>91.889999999999986</v>
      </c>
      <c r="H15" s="822"/>
      <c r="I15" s="823"/>
      <c r="J15" s="823"/>
      <c r="K15" s="823"/>
      <c r="L15" s="824"/>
      <c r="O15" s="363"/>
      <c r="P15" s="363"/>
      <c r="Q15" s="363"/>
      <c r="R15" s="363"/>
    </row>
    <row r="16" spans="1:18" s="5" customFormat="1" ht="12.75" customHeight="1">
      <c r="A16" s="204">
        <f t="shared" si="1"/>
        <v>5</v>
      </c>
      <c r="B16" s="204" t="s">
        <v>591</v>
      </c>
      <c r="C16" s="305">
        <v>417.31</v>
      </c>
      <c r="D16" s="305">
        <v>24.55</v>
      </c>
      <c r="E16" s="305">
        <v>293.08999999999997</v>
      </c>
      <c r="F16" s="305">
        <v>256.02999999999997</v>
      </c>
      <c r="G16" s="305">
        <f t="shared" si="2"/>
        <v>61.610000000000014</v>
      </c>
      <c r="H16" s="822"/>
      <c r="I16" s="823"/>
      <c r="J16" s="823"/>
      <c r="K16" s="823"/>
      <c r="L16" s="824"/>
      <c r="O16" s="363"/>
      <c r="P16" s="363"/>
      <c r="Q16" s="363"/>
      <c r="R16" s="363"/>
    </row>
    <row r="17" spans="1:18" s="5" customFormat="1" ht="12.75" customHeight="1">
      <c r="A17" s="204">
        <f t="shared" si="1"/>
        <v>6</v>
      </c>
      <c r="B17" s="204" t="s">
        <v>592</v>
      </c>
      <c r="C17" s="305">
        <v>211.22</v>
      </c>
      <c r="D17" s="305">
        <v>11</v>
      </c>
      <c r="E17" s="305">
        <v>148.35</v>
      </c>
      <c r="F17" s="305">
        <v>129.59</v>
      </c>
      <c r="G17" s="305">
        <f t="shared" si="2"/>
        <v>29.759999999999991</v>
      </c>
      <c r="H17" s="822"/>
      <c r="I17" s="823"/>
      <c r="J17" s="823"/>
      <c r="K17" s="823"/>
      <c r="L17" s="824"/>
      <c r="O17" s="363"/>
      <c r="P17" s="363"/>
      <c r="Q17" s="363"/>
      <c r="R17" s="363"/>
    </row>
    <row r="18" spans="1:18" s="5" customFormat="1" ht="12.75" customHeight="1">
      <c r="A18" s="204">
        <f t="shared" si="1"/>
        <v>7</v>
      </c>
      <c r="B18" s="204" t="s">
        <v>593</v>
      </c>
      <c r="C18" s="305">
        <v>605.04</v>
      </c>
      <c r="D18" s="305">
        <v>37.119999999999997</v>
      </c>
      <c r="E18" s="305">
        <v>424.94</v>
      </c>
      <c r="F18" s="305">
        <v>371.21</v>
      </c>
      <c r="G18" s="305">
        <f t="shared" si="2"/>
        <v>90.850000000000023</v>
      </c>
      <c r="H18" s="822"/>
      <c r="I18" s="823"/>
      <c r="J18" s="823"/>
      <c r="K18" s="823"/>
      <c r="L18" s="824"/>
      <c r="O18" s="363"/>
      <c r="P18" s="363"/>
      <c r="Q18" s="363"/>
      <c r="R18" s="363"/>
    </row>
    <row r="19" spans="1:18" s="5" customFormat="1" ht="12.75" customHeight="1">
      <c r="A19" s="204">
        <f t="shared" si="1"/>
        <v>8</v>
      </c>
      <c r="B19" s="204" t="s">
        <v>594</v>
      </c>
      <c r="C19" s="305">
        <v>814.64</v>
      </c>
      <c r="D19" s="305">
        <v>46.16</v>
      </c>
      <c r="E19" s="305">
        <v>572.15</v>
      </c>
      <c r="F19" s="305">
        <v>501.34</v>
      </c>
      <c r="G19" s="305">
        <f t="shared" si="2"/>
        <v>116.96999999999997</v>
      </c>
      <c r="H19" s="822"/>
      <c r="I19" s="823"/>
      <c r="J19" s="823"/>
      <c r="K19" s="823"/>
      <c r="L19" s="824"/>
      <c r="O19" s="363"/>
      <c r="P19" s="363"/>
      <c r="Q19" s="363"/>
      <c r="R19" s="363"/>
    </row>
    <row r="20" spans="1:18" s="5" customFormat="1" ht="12.75" customHeight="1">
      <c r="A20" s="204">
        <f t="shared" si="1"/>
        <v>9</v>
      </c>
      <c r="B20" s="204" t="s">
        <v>595</v>
      </c>
      <c r="C20" s="305">
        <v>478.5</v>
      </c>
      <c r="D20" s="305">
        <v>29.56</v>
      </c>
      <c r="E20" s="305">
        <v>336.06</v>
      </c>
      <c r="F20" s="305">
        <v>293.57</v>
      </c>
      <c r="G20" s="305">
        <f t="shared" si="2"/>
        <v>72.050000000000011</v>
      </c>
      <c r="H20" s="822"/>
      <c r="I20" s="823"/>
      <c r="J20" s="823"/>
      <c r="K20" s="823"/>
      <c r="L20" s="824"/>
      <c r="O20" s="363"/>
      <c r="P20" s="363"/>
      <c r="Q20" s="363"/>
      <c r="R20" s="363"/>
    </row>
    <row r="21" spans="1:18" s="5" customFormat="1" ht="12.75" customHeight="1">
      <c r="A21" s="204">
        <f t="shared" si="1"/>
        <v>10</v>
      </c>
      <c r="B21" s="204" t="s">
        <v>596</v>
      </c>
      <c r="C21" s="305">
        <v>833.84</v>
      </c>
      <c r="D21" s="305">
        <v>48.16</v>
      </c>
      <c r="E21" s="305">
        <v>585.63</v>
      </c>
      <c r="F21" s="305">
        <v>513.17999999999995</v>
      </c>
      <c r="G21" s="305">
        <f t="shared" si="2"/>
        <v>120.61000000000001</v>
      </c>
      <c r="H21" s="822"/>
      <c r="I21" s="823"/>
      <c r="J21" s="823"/>
      <c r="K21" s="823"/>
      <c r="L21" s="824"/>
      <c r="O21" s="363"/>
      <c r="P21" s="363"/>
      <c r="Q21" s="363"/>
      <c r="R21" s="363"/>
    </row>
    <row r="22" spans="1:18" s="5" customFormat="1" ht="12.75" customHeight="1">
      <c r="A22" s="204">
        <f t="shared" si="1"/>
        <v>11</v>
      </c>
      <c r="B22" s="204" t="s">
        <v>626</v>
      </c>
      <c r="C22" s="305">
        <v>366.82</v>
      </c>
      <c r="D22" s="305">
        <v>23.44</v>
      </c>
      <c r="E22" s="305">
        <v>257.63</v>
      </c>
      <c r="F22" s="305">
        <v>225.06</v>
      </c>
      <c r="G22" s="305">
        <f t="shared" si="2"/>
        <v>56.009999999999991</v>
      </c>
      <c r="H22" s="822"/>
      <c r="I22" s="823"/>
      <c r="J22" s="823"/>
      <c r="K22" s="823"/>
      <c r="L22" s="824"/>
      <c r="O22" s="363"/>
      <c r="P22" s="363"/>
      <c r="Q22" s="363"/>
      <c r="R22" s="363"/>
    </row>
    <row r="23" spans="1:18" s="5" customFormat="1" ht="12.75" customHeight="1">
      <c r="A23" s="204">
        <f t="shared" si="1"/>
        <v>12</v>
      </c>
      <c r="B23" s="204" t="s">
        <v>597</v>
      </c>
      <c r="C23" s="305">
        <v>475.37</v>
      </c>
      <c r="D23" s="305">
        <v>29.02</v>
      </c>
      <c r="E23" s="305">
        <v>333.86</v>
      </c>
      <c r="F23" s="305">
        <v>292.94</v>
      </c>
      <c r="G23" s="305">
        <f t="shared" si="2"/>
        <v>69.94</v>
      </c>
      <c r="H23" s="822"/>
      <c r="I23" s="823"/>
      <c r="J23" s="823"/>
      <c r="K23" s="823"/>
      <c r="L23" s="824"/>
      <c r="O23" s="363"/>
      <c r="P23" s="363"/>
      <c r="Q23" s="363"/>
      <c r="R23" s="363"/>
    </row>
    <row r="24" spans="1:18" s="5" customFormat="1" ht="12.75" customHeight="1">
      <c r="A24" s="204">
        <f t="shared" si="1"/>
        <v>13</v>
      </c>
      <c r="B24" s="204" t="s">
        <v>598</v>
      </c>
      <c r="C24" s="305">
        <v>774.78</v>
      </c>
      <c r="D24" s="305">
        <v>40.159999999999997</v>
      </c>
      <c r="E24" s="305">
        <v>544.15</v>
      </c>
      <c r="F24" s="305">
        <v>475.59</v>
      </c>
      <c r="G24" s="305">
        <f t="shared" si="2"/>
        <v>108.71999999999997</v>
      </c>
      <c r="H24" s="822"/>
      <c r="I24" s="823"/>
      <c r="J24" s="823"/>
      <c r="K24" s="823"/>
      <c r="L24" s="824"/>
      <c r="O24" s="363"/>
      <c r="P24" s="363"/>
      <c r="Q24" s="363"/>
      <c r="R24" s="363"/>
    </row>
    <row r="25" spans="1:18" s="5" customFormat="1" ht="12.75" customHeight="1">
      <c r="A25" s="204">
        <f t="shared" si="1"/>
        <v>14</v>
      </c>
      <c r="B25" s="204" t="s">
        <v>627</v>
      </c>
      <c r="C25" s="305">
        <v>505.61</v>
      </c>
      <c r="D25" s="305">
        <v>30.63</v>
      </c>
      <c r="E25" s="305">
        <v>355.11</v>
      </c>
      <c r="F25" s="305">
        <v>310.20999999999998</v>
      </c>
      <c r="G25" s="305">
        <f t="shared" si="2"/>
        <v>75.53000000000003</v>
      </c>
      <c r="H25" s="822"/>
      <c r="I25" s="823"/>
      <c r="J25" s="823"/>
      <c r="K25" s="823"/>
      <c r="L25" s="824"/>
      <c r="O25" s="363"/>
      <c r="P25" s="363"/>
      <c r="Q25" s="363"/>
      <c r="R25" s="363"/>
    </row>
    <row r="26" spans="1:18" s="5" customFormat="1" ht="12.75" customHeight="1">
      <c r="A26" s="204">
        <f t="shared" si="1"/>
        <v>15</v>
      </c>
      <c r="B26" s="204" t="s">
        <v>599</v>
      </c>
      <c r="C26" s="305">
        <v>817.97</v>
      </c>
      <c r="D26" s="305">
        <v>48.12</v>
      </c>
      <c r="E26" s="305">
        <v>574.48</v>
      </c>
      <c r="F26" s="305">
        <v>501.85</v>
      </c>
      <c r="G26" s="305">
        <f t="shared" si="2"/>
        <v>120.75</v>
      </c>
      <c r="H26" s="822"/>
      <c r="I26" s="823"/>
      <c r="J26" s="823"/>
      <c r="K26" s="823"/>
      <c r="L26" s="824"/>
      <c r="O26" s="363"/>
      <c r="P26" s="363"/>
      <c r="Q26" s="363"/>
      <c r="R26" s="363"/>
    </row>
    <row r="27" spans="1:18" s="5" customFormat="1" ht="12.75" customHeight="1">
      <c r="A27" s="204">
        <f t="shared" si="1"/>
        <v>16</v>
      </c>
      <c r="B27" s="204" t="s">
        <v>600</v>
      </c>
      <c r="C27" s="305">
        <v>873.75</v>
      </c>
      <c r="D27" s="305">
        <v>44</v>
      </c>
      <c r="E27" s="305">
        <v>613.66</v>
      </c>
      <c r="F27" s="305">
        <v>536.07000000000005</v>
      </c>
      <c r="G27" s="305">
        <f t="shared" si="2"/>
        <v>121.58999999999992</v>
      </c>
      <c r="H27" s="822"/>
      <c r="I27" s="823"/>
      <c r="J27" s="823"/>
      <c r="K27" s="823"/>
      <c r="L27" s="824"/>
      <c r="O27" s="363"/>
      <c r="P27" s="363"/>
      <c r="Q27" s="363"/>
      <c r="R27" s="363"/>
    </row>
    <row r="28" spans="1:18" s="5" customFormat="1" ht="12.75" customHeight="1">
      <c r="A28" s="204">
        <f t="shared" si="1"/>
        <v>17</v>
      </c>
      <c r="B28" s="529" t="s">
        <v>684</v>
      </c>
      <c r="C28" s="305">
        <v>149.18</v>
      </c>
      <c r="D28" s="305">
        <v>9.56</v>
      </c>
      <c r="E28" s="305">
        <v>104.78</v>
      </c>
      <c r="F28" s="305">
        <v>91.86</v>
      </c>
      <c r="G28" s="305">
        <f t="shared" si="2"/>
        <v>22.480000000000004</v>
      </c>
      <c r="H28" s="822"/>
      <c r="I28" s="823"/>
      <c r="J28" s="823"/>
      <c r="K28" s="823"/>
      <c r="L28" s="824"/>
      <c r="O28" s="363"/>
      <c r="P28" s="363"/>
      <c r="Q28" s="363"/>
      <c r="R28" s="363"/>
    </row>
    <row r="29" spans="1:18" ht="12.75" customHeight="1">
      <c r="A29" s="204">
        <f t="shared" si="1"/>
        <v>18</v>
      </c>
      <c r="B29" s="204" t="s">
        <v>601</v>
      </c>
      <c r="C29" s="305">
        <v>647.77</v>
      </c>
      <c r="D29" s="305">
        <v>35.159999999999997</v>
      </c>
      <c r="E29" s="305">
        <v>454.94</v>
      </c>
      <c r="F29" s="305">
        <v>397.52</v>
      </c>
      <c r="G29" s="305">
        <f t="shared" si="2"/>
        <v>92.580000000000041</v>
      </c>
      <c r="H29" s="822"/>
      <c r="I29" s="823"/>
      <c r="J29" s="823"/>
      <c r="K29" s="823"/>
      <c r="L29" s="824"/>
      <c r="O29" s="363"/>
      <c r="P29" s="363"/>
      <c r="Q29" s="363"/>
      <c r="R29" s="363"/>
    </row>
    <row r="30" spans="1:18" ht="12.75" customHeight="1">
      <c r="A30" s="204">
        <f t="shared" si="1"/>
        <v>19</v>
      </c>
      <c r="B30" s="204" t="s">
        <v>602</v>
      </c>
      <c r="C30" s="305">
        <v>1091.8399999999999</v>
      </c>
      <c r="D30" s="305">
        <v>57.56</v>
      </c>
      <c r="E30" s="305">
        <v>766.83</v>
      </c>
      <c r="F30" s="305">
        <v>669.88</v>
      </c>
      <c r="G30" s="305">
        <f t="shared" si="2"/>
        <v>154.5100000000001</v>
      </c>
      <c r="H30" s="822"/>
      <c r="I30" s="823"/>
      <c r="J30" s="823"/>
      <c r="K30" s="823"/>
      <c r="L30" s="824"/>
      <c r="O30" s="363"/>
      <c r="P30" s="363"/>
      <c r="Q30" s="363"/>
      <c r="R30" s="363"/>
    </row>
    <row r="31" spans="1:18" s="527" customFormat="1" ht="12.75" customHeight="1">
      <c r="A31" s="204">
        <f t="shared" si="1"/>
        <v>20</v>
      </c>
      <c r="B31" s="529" t="s">
        <v>683</v>
      </c>
      <c r="C31" s="305">
        <v>622.16</v>
      </c>
      <c r="D31" s="305">
        <v>37.51</v>
      </c>
      <c r="E31" s="305">
        <v>436.96</v>
      </c>
      <c r="F31" s="305">
        <v>381.71</v>
      </c>
      <c r="G31" s="305">
        <f t="shared" si="2"/>
        <v>92.759999999999991</v>
      </c>
      <c r="H31" s="822"/>
      <c r="I31" s="823"/>
      <c r="J31" s="823"/>
      <c r="K31" s="823"/>
      <c r="L31" s="824"/>
      <c r="O31" s="363"/>
      <c r="P31" s="363"/>
      <c r="Q31" s="363"/>
      <c r="R31" s="363"/>
    </row>
    <row r="32" spans="1:18" ht="12.75" customHeight="1">
      <c r="A32" s="204">
        <f t="shared" si="1"/>
        <v>21</v>
      </c>
      <c r="B32" s="529" t="s">
        <v>628</v>
      </c>
      <c r="C32" s="305">
        <v>471.58</v>
      </c>
      <c r="D32" s="305">
        <v>27.06</v>
      </c>
      <c r="E32" s="305">
        <v>331.2</v>
      </c>
      <c r="F32" s="305">
        <v>289.33</v>
      </c>
      <c r="G32" s="305">
        <f t="shared" si="2"/>
        <v>68.930000000000007</v>
      </c>
      <c r="H32" s="822"/>
      <c r="I32" s="823"/>
      <c r="J32" s="823"/>
      <c r="K32" s="823"/>
      <c r="L32" s="824"/>
      <c r="O32" s="363"/>
      <c r="P32" s="363"/>
      <c r="Q32" s="363"/>
      <c r="R32" s="363"/>
    </row>
    <row r="33" spans="1:18" ht="12.75" customHeight="1">
      <c r="A33" s="204">
        <f t="shared" si="1"/>
        <v>22</v>
      </c>
      <c r="B33" s="204" t="s">
        <v>603</v>
      </c>
      <c r="C33" s="305">
        <v>1089.8699999999999</v>
      </c>
      <c r="D33" s="305">
        <v>66.12</v>
      </c>
      <c r="E33" s="305">
        <v>765.45</v>
      </c>
      <c r="F33" s="305">
        <v>671.2</v>
      </c>
      <c r="G33" s="305">
        <f t="shared" si="2"/>
        <v>160.37</v>
      </c>
      <c r="H33" s="822"/>
      <c r="I33" s="823"/>
      <c r="J33" s="823"/>
      <c r="K33" s="823"/>
      <c r="L33" s="824"/>
      <c r="O33" s="363"/>
      <c r="P33" s="363"/>
      <c r="Q33" s="363"/>
      <c r="R33" s="363"/>
    </row>
    <row r="34" spans="1:18" ht="12.75" customHeight="1">
      <c r="A34" s="204">
        <f t="shared" si="1"/>
        <v>23</v>
      </c>
      <c r="B34" s="204" t="s">
        <v>604</v>
      </c>
      <c r="C34" s="305">
        <v>377.06</v>
      </c>
      <c r="D34" s="305">
        <v>26.32</v>
      </c>
      <c r="E34" s="305">
        <v>264.82</v>
      </c>
      <c r="F34" s="305">
        <v>231.34</v>
      </c>
      <c r="G34" s="305">
        <f t="shared" si="0"/>
        <v>59.799999999999983</v>
      </c>
      <c r="H34" s="822"/>
      <c r="I34" s="823"/>
      <c r="J34" s="823"/>
      <c r="K34" s="823"/>
      <c r="L34" s="824"/>
      <c r="O34" s="363"/>
      <c r="P34" s="363"/>
      <c r="Q34" s="363"/>
      <c r="R34" s="363"/>
    </row>
    <row r="35" spans="1:18" ht="12.75" customHeight="1">
      <c r="A35" s="204">
        <f t="shared" si="1"/>
        <v>24</v>
      </c>
      <c r="B35" s="204" t="s">
        <v>605</v>
      </c>
      <c r="C35" s="305">
        <v>346.58</v>
      </c>
      <c r="D35" s="305">
        <v>20.55</v>
      </c>
      <c r="E35" s="305">
        <v>243.41</v>
      </c>
      <c r="F35" s="305">
        <v>212.64</v>
      </c>
      <c r="G35" s="305">
        <f t="shared" si="0"/>
        <v>51.319999999999993</v>
      </c>
      <c r="H35" s="822"/>
      <c r="I35" s="823"/>
      <c r="J35" s="823"/>
      <c r="K35" s="823"/>
      <c r="L35" s="824"/>
      <c r="O35" s="363"/>
      <c r="P35" s="363"/>
      <c r="Q35" s="363"/>
      <c r="R35" s="363"/>
    </row>
    <row r="36" spans="1:18" ht="12.75" customHeight="1">
      <c r="A36" s="204">
        <f t="shared" si="1"/>
        <v>25</v>
      </c>
      <c r="B36" s="204" t="s">
        <v>606</v>
      </c>
      <c r="C36" s="305">
        <v>1532.91</v>
      </c>
      <c r="D36" s="305">
        <v>89.01</v>
      </c>
      <c r="E36" s="305">
        <v>1076.5999999999999</v>
      </c>
      <c r="F36" s="305">
        <v>940.49</v>
      </c>
      <c r="G36" s="305">
        <f t="shared" si="0"/>
        <v>225.11999999999989</v>
      </c>
      <c r="H36" s="822"/>
      <c r="I36" s="823"/>
      <c r="J36" s="823"/>
      <c r="K36" s="823"/>
      <c r="L36" s="824"/>
      <c r="O36" s="363"/>
      <c r="P36" s="363"/>
      <c r="Q36" s="363"/>
      <c r="R36" s="363"/>
    </row>
    <row r="37" spans="1:18" ht="12.75" customHeight="1">
      <c r="A37" s="204">
        <f t="shared" si="1"/>
        <v>26</v>
      </c>
      <c r="B37" s="204" t="s">
        <v>607</v>
      </c>
      <c r="C37" s="305">
        <v>1196.4100000000001</v>
      </c>
      <c r="D37" s="305">
        <v>64.010000000000005</v>
      </c>
      <c r="E37" s="305">
        <v>840.27</v>
      </c>
      <c r="F37" s="305">
        <v>734.04</v>
      </c>
      <c r="G37" s="305">
        <f t="shared" si="0"/>
        <v>170.24</v>
      </c>
      <c r="H37" s="822"/>
      <c r="I37" s="823"/>
      <c r="J37" s="823"/>
      <c r="K37" s="823"/>
      <c r="L37" s="824"/>
      <c r="O37" s="363"/>
      <c r="P37" s="363"/>
      <c r="Q37" s="363"/>
      <c r="R37" s="363"/>
    </row>
    <row r="38" spans="1:18" ht="12.75" customHeight="1">
      <c r="A38" s="204">
        <f t="shared" si="1"/>
        <v>27</v>
      </c>
      <c r="B38" s="204" t="s">
        <v>608</v>
      </c>
      <c r="C38" s="305">
        <v>913.92</v>
      </c>
      <c r="D38" s="305">
        <v>52.16</v>
      </c>
      <c r="E38" s="305">
        <v>641.87</v>
      </c>
      <c r="F38" s="305">
        <v>560.72</v>
      </c>
      <c r="G38" s="305">
        <f t="shared" si="0"/>
        <v>133.30999999999995</v>
      </c>
      <c r="H38" s="822"/>
      <c r="I38" s="823"/>
      <c r="J38" s="823"/>
      <c r="K38" s="823"/>
      <c r="L38" s="824"/>
      <c r="O38" s="363"/>
      <c r="P38" s="363"/>
      <c r="Q38" s="363"/>
      <c r="R38" s="363"/>
    </row>
    <row r="39" spans="1:18" ht="12.75" customHeight="1">
      <c r="A39" s="204">
        <f t="shared" si="1"/>
        <v>28</v>
      </c>
      <c r="B39" s="204" t="s">
        <v>609</v>
      </c>
      <c r="C39" s="305">
        <v>586.23</v>
      </c>
      <c r="D39" s="305">
        <v>34.01</v>
      </c>
      <c r="E39" s="305">
        <v>411.73</v>
      </c>
      <c r="F39" s="305">
        <v>359.67</v>
      </c>
      <c r="G39" s="305">
        <f t="shared" si="0"/>
        <v>86.07</v>
      </c>
      <c r="H39" s="822"/>
      <c r="I39" s="823"/>
      <c r="J39" s="823"/>
      <c r="K39" s="823"/>
      <c r="L39" s="824"/>
      <c r="O39" s="363"/>
      <c r="P39" s="363"/>
      <c r="Q39" s="363"/>
      <c r="R39" s="363"/>
    </row>
    <row r="40" spans="1:18" ht="12.75" customHeight="1">
      <c r="A40" s="204">
        <f t="shared" si="1"/>
        <v>29</v>
      </c>
      <c r="B40" s="204" t="s">
        <v>610</v>
      </c>
      <c r="C40" s="305">
        <v>924.19</v>
      </c>
      <c r="D40" s="305">
        <v>53.11</v>
      </c>
      <c r="E40" s="305">
        <v>649.09</v>
      </c>
      <c r="F40" s="305">
        <v>567.02</v>
      </c>
      <c r="G40" s="305">
        <f t="shared" si="0"/>
        <v>135.18000000000006</v>
      </c>
      <c r="H40" s="822"/>
      <c r="I40" s="823"/>
      <c r="J40" s="823"/>
      <c r="K40" s="823"/>
      <c r="L40" s="824"/>
      <c r="O40" s="363"/>
      <c r="P40" s="363"/>
      <c r="Q40" s="363"/>
      <c r="R40" s="363"/>
    </row>
    <row r="41" spans="1:18" ht="12.75" customHeight="1">
      <c r="A41" s="204">
        <f t="shared" si="1"/>
        <v>30</v>
      </c>
      <c r="B41" s="502" t="s">
        <v>611</v>
      </c>
      <c r="C41" s="305">
        <v>460.34</v>
      </c>
      <c r="D41" s="305">
        <v>27</v>
      </c>
      <c r="E41" s="305">
        <v>323.31</v>
      </c>
      <c r="F41" s="305">
        <v>282.43</v>
      </c>
      <c r="G41" s="305">
        <f t="shared" si="0"/>
        <v>67.88</v>
      </c>
      <c r="H41" s="822"/>
      <c r="I41" s="823"/>
      <c r="J41" s="823"/>
      <c r="K41" s="823"/>
      <c r="L41" s="824"/>
      <c r="O41" s="363"/>
      <c r="P41" s="363"/>
      <c r="Q41" s="363"/>
      <c r="R41" s="363"/>
    </row>
    <row r="42" spans="1:18" ht="12.75" customHeight="1">
      <c r="A42" s="204">
        <f t="shared" si="1"/>
        <v>31</v>
      </c>
      <c r="B42" s="502" t="s">
        <v>612</v>
      </c>
      <c r="C42" s="305">
        <v>352.76</v>
      </c>
      <c r="D42" s="305">
        <v>15</v>
      </c>
      <c r="E42" s="305">
        <v>247.75</v>
      </c>
      <c r="F42" s="305">
        <v>216.43</v>
      </c>
      <c r="G42" s="305">
        <f t="shared" si="0"/>
        <v>46.319999999999993</v>
      </c>
      <c r="H42" s="822"/>
      <c r="I42" s="823"/>
      <c r="J42" s="823"/>
      <c r="K42" s="823"/>
      <c r="L42" s="824"/>
      <c r="O42" s="363"/>
      <c r="P42" s="363"/>
      <c r="Q42" s="363"/>
      <c r="R42" s="363"/>
    </row>
    <row r="43" spans="1:18" ht="12.75" customHeight="1">
      <c r="A43" s="204">
        <f t="shared" si="1"/>
        <v>32</v>
      </c>
      <c r="B43" s="502" t="s">
        <v>613</v>
      </c>
      <c r="C43" s="305">
        <v>463.01</v>
      </c>
      <c r="D43" s="305">
        <v>22.99</v>
      </c>
      <c r="E43" s="305">
        <v>325.18</v>
      </c>
      <c r="F43" s="305">
        <v>284.07</v>
      </c>
      <c r="G43" s="305">
        <f t="shared" si="0"/>
        <v>64.100000000000023</v>
      </c>
      <c r="H43" s="822"/>
      <c r="I43" s="823"/>
      <c r="J43" s="823"/>
      <c r="K43" s="823"/>
      <c r="L43" s="824"/>
      <c r="O43" s="363"/>
      <c r="P43" s="363"/>
      <c r="Q43" s="363"/>
      <c r="R43" s="363"/>
    </row>
    <row r="44" spans="1:18" ht="12.75" customHeight="1">
      <c r="A44" s="204">
        <f t="shared" si="1"/>
        <v>33</v>
      </c>
      <c r="B44" s="502" t="s">
        <v>614</v>
      </c>
      <c r="C44" s="305">
        <v>510.78</v>
      </c>
      <c r="D44" s="305">
        <v>25.02</v>
      </c>
      <c r="E44" s="305">
        <v>358.74</v>
      </c>
      <c r="F44" s="305">
        <v>313.36</v>
      </c>
      <c r="G44" s="305">
        <f t="shared" si="0"/>
        <v>70.399999999999977</v>
      </c>
      <c r="H44" s="822"/>
      <c r="I44" s="823"/>
      <c r="J44" s="823"/>
      <c r="K44" s="823"/>
      <c r="L44" s="824"/>
      <c r="O44" s="363"/>
      <c r="P44" s="363"/>
      <c r="Q44" s="363"/>
      <c r="R44" s="363"/>
    </row>
    <row r="45" spans="1:18" s="5" customFormat="1">
      <c r="A45" s="274"/>
      <c r="B45" s="274" t="s">
        <v>615</v>
      </c>
      <c r="C45" s="307">
        <f>SUM(C12:C44)</f>
        <v>22147.999999999993</v>
      </c>
      <c r="D45" s="307">
        <f>SUM(D12:D44)</f>
        <v>1266.4199999999998</v>
      </c>
      <c r="E45" s="306">
        <f>SUM(E12:E44)</f>
        <v>15555.16</v>
      </c>
      <c r="F45" s="307">
        <f>SUM(F12:F44)</f>
        <v>13599.16</v>
      </c>
      <c r="G45" s="307">
        <f>SUM(G12:G44)</f>
        <v>3222.4200000000014</v>
      </c>
      <c r="H45" s="825"/>
      <c r="I45" s="826"/>
      <c r="J45" s="826"/>
      <c r="K45" s="826"/>
      <c r="L45" s="827"/>
      <c r="O45" s="363"/>
      <c r="P45" s="363"/>
      <c r="Q45" s="363"/>
      <c r="R45" s="363"/>
    </row>
    <row r="46" spans="1:18">
      <c r="A46" s="9" t="s">
        <v>570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Q46" s="363"/>
    </row>
    <row r="47" spans="1:18" s="594" customFormat="1" ht="15.75" customHeight="1">
      <c r="E47" s="363"/>
    </row>
    <row r="48" spans="1:18">
      <c r="A48" s="5"/>
    </row>
    <row r="49" spans="6:12" ht="15.75">
      <c r="F49" s="379"/>
      <c r="I49" s="761" t="s">
        <v>908</v>
      </c>
      <c r="J49" s="761"/>
      <c r="K49" s="761"/>
      <c r="L49" s="761"/>
    </row>
    <row r="50" spans="6:12" ht="15.75">
      <c r="I50" s="761" t="s">
        <v>646</v>
      </c>
      <c r="J50" s="761"/>
      <c r="K50" s="761"/>
      <c r="L50" s="761"/>
    </row>
  </sheetData>
  <mergeCells count="14">
    <mergeCell ref="I49:L49"/>
    <mergeCell ref="I50:L50"/>
    <mergeCell ref="H12:L45"/>
    <mergeCell ref="I8:L8"/>
    <mergeCell ref="A9:A10"/>
    <mergeCell ref="B9:B10"/>
    <mergeCell ref="C9:G9"/>
    <mergeCell ref="H9:L9"/>
    <mergeCell ref="F7:L7"/>
    <mergeCell ref="A7:B7"/>
    <mergeCell ref="L1:N1"/>
    <mergeCell ref="A2:L2"/>
    <mergeCell ref="A3:L3"/>
    <mergeCell ref="A5:L5"/>
  </mergeCells>
  <phoneticPr fontId="0" type="noConversion"/>
  <printOptions horizontalCentered="1"/>
  <pageMargins left="0.48" right="0.45" top="0.39" bottom="0" header="0.31496062992125984" footer="0.31496062992125984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0" zoomScaleNormal="70" zoomScaleSheetLayoutView="70" workbookViewId="0"/>
  </sheetViews>
  <sheetFormatPr defaultColWidth="9.140625" defaultRowHeight="12.75"/>
  <cols>
    <col min="1" max="1" width="5.7109375" style="65" customWidth="1"/>
    <col min="2" max="2" width="19.7109375" style="65" customWidth="1"/>
    <col min="3" max="3" width="13" style="65" customWidth="1"/>
    <col min="4" max="4" width="12" style="65" customWidth="1"/>
    <col min="5" max="5" width="12.42578125" style="65" customWidth="1"/>
    <col min="6" max="6" width="12.7109375" style="65" customWidth="1"/>
    <col min="7" max="7" width="13.140625" style="65" customWidth="1"/>
    <col min="8" max="8" width="12.7109375" style="65" customWidth="1"/>
    <col min="9" max="9" width="12.140625" style="65" customWidth="1"/>
    <col min="10" max="10" width="12.140625" style="126" customWidth="1"/>
    <col min="11" max="11" width="16.5703125" style="65" customWidth="1"/>
    <col min="12" max="12" width="13.140625" style="65" customWidth="1"/>
    <col min="13" max="13" width="12.7109375" style="65" customWidth="1"/>
    <col min="14" max="16384" width="9.140625" style="65"/>
  </cols>
  <sheetData>
    <row r="1" spans="1:18">
      <c r="K1" s="831" t="s">
        <v>204</v>
      </c>
      <c r="L1" s="831"/>
      <c r="M1" s="831"/>
    </row>
    <row r="2" spans="1:18" ht="12.75" customHeight="1"/>
    <row r="3" spans="1:18" ht="15.75">
      <c r="A3" s="839" t="s">
        <v>0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</row>
    <row r="4" spans="1:18" ht="20.25">
      <c r="A4" s="838" t="s">
        <v>737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</row>
    <row r="5" spans="1:18" ht="10.5" customHeight="1"/>
    <row r="6" spans="1:18" ht="15.75">
      <c r="A6" s="837" t="s">
        <v>750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</row>
    <row r="7" spans="1:18" ht="15.75">
      <c r="B7" s="182"/>
      <c r="C7" s="182"/>
      <c r="D7" s="182"/>
      <c r="E7" s="182"/>
      <c r="F7" s="182"/>
      <c r="G7" s="182"/>
      <c r="H7" s="182"/>
      <c r="L7" s="836" t="s">
        <v>184</v>
      </c>
      <c r="M7" s="836"/>
    </row>
    <row r="8" spans="1:18" ht="15.75">
      <c r="A8" s="106" t="s">
        <v>660</v>
      </c>
      <c r="C8" s="182"/>
      <c r="D8" s="182"/>
      <c r="E8" s="182"/>
      <c r="F8" s="182"/>
      <c r="G8" s="793" t="s">
        <v>774</v>
      </c>
      <c r="H8" s="793"/>
      <c r="I8" s="793"/>
      <c r="J8" s="793"/>
      <c r="K8" s="793"/>
      <c r="L8" s="793"/>
      <c r="M8" s="793"/>
    </row>
    <row r="9" spans="1:18">
      <c r="A9" s="840" t="s">
        <v>20</v>
      </c>
      <c r="B9" s="843" t="s">
        <v>3</v>
      </c>
      <c r="C9" s="832" t="s">
        <v>751</v>
      </c>
      <c r="D9" s="832" t="s">
        <v>864</v>
      </c>
      <c r="E9" s="832" t="s">
        <v>218</v>
      </c>
      <c r="F9" s="832" t="s">
        <v>217</v>
      </c>
      <c r="G9" s="832"/>
      <c r="H9" s="832" t="s">
        <v>181</v>
      </c>
      <c r="I9" s="832"/>
      <c r="J9" s="833" t="s">
        <v>423</v>
      </c>
      <c r="K9" s="832" t="s">
        <v>183</v>
      </c>
      <c r="L9" s="832" t="s">
        <v>399</v>
      </c>
      <c r="M9" s="832" t="s">
        <v>232</v>
      </c>
    </row>
    <row r="10" spans="1:18">
      <c r="A10" s="841"/>
      <c r="B10" s="843"/>
      <c r="C10" s="832"/>
      <c r="D10" s="832"/>
      <c r="E10" s="832"/>
      <c r="F10" s="832"/>
      <c r="G10" s="832"/>
      <c r="H10" s="832"/>
      <c r="I10" s="832"/>
      <c r="J10" s="834"/>
      <c r="K10" s="832"/>
      <c r="L10" s="832"/>
      <c r="M10" s="832"/>
    </row>
    <row r="11" spans="1:18" ht="27" customHeight="1">
      <c r="A11" s="842"/>
      <c r="B11" s="843"/>
      <c r="C11" s="832"/>
      <c r="D11" s="832"/>
      <c r="E11" s="832"/>
      <c r="F11" s="177" t="s">
        <v>182</v>
      </c>
      <c r="G11" s="177" t="s">
        <v>233</v>
      </c>
      <c r="H11" s="177" t="s">
        <v>182</v>
      </c>
      <c r="I11" s="177" t="s">
        <v>233</v>
      </c>
      <c r="J11" s="835"/>
      <c r="K11" s="832"/>
      <c r="L11" s="832"/>
      <c r="M11" s="832"/>
    </row>
    <row r="12" spans="1:18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127">
        <v>10</v>
      </c>
      <c r="K12" s="68">
        <v>11</v>
      </c>
      <c r="L12" s="78">
        <v>12</v>
      </c>
      <c r="M12" s="78">
        <v>13</v>
      </c>
    </row>
    <row r="13" spans="1:18">
      <c r="A13" s="204">
        <v>1</v>
      </c>
      <c r="B13" s="204" t="s">
        <v>624</v>
      </c>
      <c r="C13" s="308">
        <v>44.32</v>
      </c>
      <c r="D13" s="308">
        <v>1.73</v>
      </c>
      <c r="E13" s="308">
        <v>40.82</v>
      </c>
      <c r="F13" s="308">
        <f>T6_FG_py_Utlsn!E12+'T6A_FG_Upy_Utlsn '!E12</f>
        <v>1014.94</v>
      </c>
      <c r="G13" s="308">
        <f>F13*3000/100000</f>
        <v>30.4482</v>
      </c>
      <c r="H13" s="308">
        <f>F13</f>
        <v>1014.94</v>
      </c>
      <c r="I13" s="308">
        <f>H13*3000/100000</f>
        <v>30.4482</v>
      </c>
      <c r="J13" s="309">
        <f>G13-I13</f>
        <v>0</v>
      </c>
      <c r="K13" s="308">
        <f>D13+E13-I13</f>
        <v>12.101799999999997</v>
      </c>
      <c r="L13" s="308">
        <v>0</v>
      </c>
      <c r="M13" s="308">
        <v>0</v>
      </c>
      <c r="O13" s="396"/>
      <c r="P13" s="396"/>
      <c r="Q13" s="396"/>
      <c r="R13" s="396"/>
    </row>
    <row r="14" spans="1:18">
      <c r="A14" s="204">
        <f>A13+1</f>
        <v>2</v>
      </c>
      <c r="B14" s="204" t="s">
        <v>589</v>
      </c>
      <c r="C14" s="308">
        <v>45.62</v>
      </c>
      <c r="D14" s="308">
        <v>1.78</v>
      </c>
      <c r="E14" s="308">
        <v>42.02</v>
      </c>
      <c r="F14" s="308">
        <f>T6_FG_py_Utlsn!E13+'T6A_FG_Upy_Utlsn '!E13</f>
        <v>1040.33</v>
      </c>
      <c r="G14" s="308">
        <f t="shared" ref="G14:G45" si="0">F14*3000/100000</f>
        <v>31.209900000000001</v>
      </c>
      <c r="H14" s="308">
        <f t="shared" ref="H14:H45" si="1">F14</f>
        <v>1040.33</v>
      </c>
      <c r="I14" s="308">
        <f t="shared" ref="I14:I45" si="2">H14*3000/100000</f>
        <v>31.209900000000001</v>
      </c>
      <c r="J14" s="309">
        <f t="shared" ref="J14:J45" si="3">G14-I14</f>
        <v>0</v>
      </c>
      <c r="K14" s="308">
        <f t="shared" ref="K14:K45" si="4">D14+E14-I14</f>
        <v>12.590100000000003</v>
      </c>
      <c r="L14" s="308">
        <v>0</v>
      </c>
      <c r="M14" s="308">
        <v>0</v>
      </c>
      <c r="O14" s="396"/>
      <c r="P14" s="396"/>
      <c r="Q14" s="396"/>
      <c r="R14" s="396"/>
    </row>
    <row r="15" spans="1:18">
      <c r="A15" s="204">
        <f t="shared" ref="A15:A45" si="5">A14+1</f>
        <v>3</v>
      </c>
      <c r="B15" s="204" t="s">
        <v>625</v>
      </c>
      <c r="C15" s="308">
        <v>100.13</v>
      </c>
      <c r="D15" s="308">
        <v>3.92</v>
      </c>
      <c r="E15" s="308">
        <v>92.23</v>
      </c>
      <c r="F15" s="308">
        <f>T6_FG_py_Utlsn!E14+'T6A_FG_Upy_Utlsn '!E14</f>
        <v>2332.34</v>
      </c>
      <c r="G15" s="308">
        <f t="shared" si="0"/>
        <v>69.970200000000006</v>
      </c>
      <c r="H15" s="308">
        <f>F15-909.333</f>
        <v>1423.0070000000001</v>
      </c>
      <c r="I15" s="308">
        <f>G15-27.28</f>
        <v>42.690200000000004</v>
      </c>
      <c r="J15" s="309">
        <f t="shared" si="3"/>
        <v>27.28</v>
      </c>
      <c r="K15" s="308">
        <f t="shared" si="4"/>
        <v>53.459800000000001</v>
      </c>
      <c r="L15" s="308">
        <v>0</v>
      </c>
      <c r="M15" s="308">
        <v>0</v>
      </c>
      <c r="O15" s="396"/>
      <c r="P15" s="396"/>
      <c r="Q15" s="396"/>
      <c r="R15" s="396"/>
    </row>
    <row r="16" spans="1:18">
      <c r="A16" s="204">
        <f t="shared" si="5"/>
        <v>4</v>
      </c>
      <c r="B16" s="204" t="s">
        <v>590</v>
      </c>
      <c r="C16" s="308">
        <v>35.39</v>
      </c>
      <c r="D16" s="308">
        <v>1.38</v>
      </c>
      <c r="E16" s="308">
        <v>32.590000000000003</v>
      </c>
      <c r="F16" s="308">
        <f>T6_FG_py_Utlsn!E15+'T6A_FG_Upy_Utlsn '!E15</f>
        <v>853.31</v>
      </c>
      <c r="G16" s="308">
        <f t="shared" si="0"/>
        <v>25.599299999999999</v>
      </c>
      <c r="H16" s="308">
        <f t="shared" si="1"/>
        <v>853.31</v>
      </c>
      <c r="I16" s="308">
        <f t="shared" si="2"/>
        <v>25.599299999999999</v>
      </c>
      <c r="J16" s="309">
        <f t="shared" si="3"/>
        <v>0</v>
      </c>
      <c r="K16" s="308">
        <f t="shared" si="4"/>
        <v>8.3707000000000065</v>
      </c>
      <c r="L16" s="308">
        <v>0</v>
      </c>
      <c r="M16" s="308">
        <v>0</v>
      </c>
      <c r="O16" s="396"/>
      <c r="P16" s="396"/>
      <c r="Q16" s="396"/>
      <c r="R16" s="396"/>
    </row>
    <row r="17" spans="1:18">
      <c r="A17" s="204">
        <f t="shared" si="5"/>
        <v>5</v>
      </c>
      <c r="B17" s="204" t="s">
        <v>591</v>
      </c>
      <c r="C17" s="308">
        <v>22.17</v>
      </c>
      <c r="D17" s="308">
        <v>0.87</v>
      </c>
      <c r="E17" s="308">
        <v>20.420000000000002</v>
      </c>
      <c r="F17" s="308">
        <f>T6_FG_py_Utlsn!E16+'T6A_FG_Upy_Utlsn '!E16</f>
        <v>540.41999999999996</v>
      </c>
      <c r="G17" s="308">
        <f t="shared" si="0"/>
        <v>16.212599999999998</v>
      </c>
      <c r="H17" s="308">
        <f t="shared" si="1"/>
        <v>540.41999999999996</v>
      </c>
      <c r="I17" s="308">
        <f t="shared" si="2"/>
        <v>16.212599999999998</v>
      </c>
      <c r="J17" s="309">
        <f t="shared" si="3"/>
        <v>0</v>
      </c>
      <c r="K17" s="308">
        <f t="shared" si="4"/>
        <v>5.0774000000000044</v>
      </c>
      <c r="L17" s="308">
        <v>0</v>
      </c>
      <c r="M17" s="308">
        <v>0</v>
      </c>
      <c r="O17" s="396"/>
      <c r="P17" s="396"/>
      <c r="Q17" s="396"/>
      <c r="R17" s="396"/>
    </row>
    <row r="18" spans="1:18">
      <c r="A18" s="204">
        <f t="shared" si="5"/>
        <v>6</v>
      </c>
      <c r="B18" s="204" t="s">
        <v>592</v>
      </c>
      <c r="C18" s="308">
        <v>14</v>
      </c>
      <c r="D18" s="308">
        <v>0.55000000000000004</v>
      </c>
      <c r="E18" s="308">
        <v>12.9</v>
      </c>
      <c r="F18" s="308">
        <f>T6_FG_py_Utlsn!E17+'T6A_FG_Upy_Utlsn '!E17</f>
        <v>328.12</v>
      </c>
      <c r="G18" s="308">
        <f t="shared" si="0"/>
        <v>9.8436000000000003</v>
      </c>
      <c r="H18" s="308">
        <f t="shared" si="1"/>
        <v>328.12</v>
      </c>
      <c r="I18" s="308">
        <f t="shared" si="2"/>
        <v>9.8436000000000003</v>
      </c>
      <c r="J18" s="309">
        <f t="shared" si="3"/>
        <v>0</v>
      </c>
      <c r="K18" s="308">
        <f t="shared" si="4"/>
        <v>3.6064000000000007</v>
      </c>
      <c r="L18" s="308">
        <v>0</v>
      </c>
      <c r="M18" s="308">
        <v>0</v>
      </c>
      <c r="O18" s="396"/>
      <c r="P18" s="396"/>
      <c r="Q18" s="396"/>
      <c r="R18" s="396"/>
    </row>
    <row r="19" spans="1:18">
      <c r="A19" s="204">
        <f t="shared" si="5"/>
        <v>7</v>
      </c>
      <c r="B19" s="204" t="s">
        <v>593</v>
      </c>
      <c r="C19" s="308">
        <v>41.31</v>
      </c>
      <c r="D19" s="308">
        <v>1.62</v>
      </c>
      <c r="E19" s="308">
        <v>38.049999999999997</v>
      </c>
      <c r="F19" s="308">
        <f>T6_FG_py_Utlsn!E18+'T6A_FG_Upy_Utlsn '!E18</f>
        <v>963.28</v>
      </c>
      <c r="G19" s="308">
        <f t="shared" si="0"/>
        <v>28.898399999999999</v>
      </c>
      <c r="H19" s="308">
        <f t="shared" si="1"/>
        <v>963.28</v>
      </c>
      <c r="I19" s="308">
        <f t="shared" si="2"/>
        <v>28.898399999999999</v>
      </c>
      <c r="J19" s="309">
        <f t="shared" si="3"/>
        <v>0</v>
      </c>
      <c r="K19" s="308">
        <f t="shared" si="4"/>
        <v>10.771599999999996</v>
      </c>
      <c r="L19" s="308">
        <v>0</v>
      </c>
      <c r="M19" s="308">
        <v>0</v>
      </c>
      <c r="O19" s="396"/>
      <c r="P19" s="396"/>
      <c r="Q19" s="396"/>
      <c r="R19" s="396"/>
    </row>
    <row r="20" spans="1:18">
      <c r="A20" s="204">
        <f t="shared" si="5"/>
        <v>8</v>
      </c>
      <c r="B20" s="204" t="s">
        <v>594</v>
      </c>
      <c r="C20" s="308">
        <v>53.46</v>
      </c>
      <c r="D20" s="308">
        <v>2.09</v>
      </c>
      <c r="E20" s="308">
        <v>49.25</v>
      </c>
      <c r="F20" s="308">
        <f>T6_FG_py_Utlsn!E19+'T6A_FG_Upy_Utlsn '!E19</f>
        <v>1254.79</v>
      </c>
      <c r="G20" s="308">
        <f t="shared" si="0"/>
        <v>37.643700000000003</v>
      </c>
      <c r="H20" s="308">
        <f t="shared" si="1"/>
        <v>1254.79</v>
      </c>
      <c r="I20" s="308">
        <f t="shared" si="2"/>
        <v>37.643700000000003</v>
      </c>
      <c r="J20" s="309">
        <f t="shared" si="3"/>
        <v>0</v>
      </c>
      <c r="K20" s="308">
        <f t="shared" si="4"/>
        <v>13.696300000000001</v>
      </c>
      <c r="L20" s="308">
        <v>0</v>
      </c>
      <c r="M20" s="308">
        <v>0</v>
      </c>
      <c r="O20" s="396"/>
      <c r="P20" s="396"/>
      <c r="Q20" s="396"/>
      <c r="R20" s="396"/>
    </row>
    <row r="21" spans="1:18">
      <c r="A21" s="204">
        <f t="shared" si="5"/>
        <v>9</v>
      </c>
      <c r="B21" s="204" t="s">
        <v>595</v>
      </c>
      <c r="C21" s="308">
        <v>25.83</v>
      </c>
      <c r="D21" s="308">
        <v>1.01</v>
      </c>
      <c r="E21" s="308">
        <v>23.79</v>
      </c>
      <c r="F21" s="308">
        <f>T6_FG_py_Utlsn!E20+'T6A_FG_Upy_Utlsn '!E20</f>
        <v>627.68000000000006</v>
      </c>
      <c r="G21" s="308">
        <f t="shared" si="0"/>
        <v>18.830400000000001</v>
      </c>
      <c r="H21" s="308">
        <f t="shared" si="1"/>
        <v>627.68000000000006</v>
      </c>
      <c r="I21" s="308">
        <f t="shared" si="2"/>
        <v>18.830400000000001</v>
      </c>
      <c r="J21" s="309">
        <f t="shared" si="3"/>
        <v>0</v>
      </c>
      <c r="K21" s="308">
        <f t="shared" si="4"/>
        <v>5.9695999999999998</v>
      </c>
      <c r="L21" s="308">
        <v>0</v>
      </c>
      <c r="M21" s="308">
        <v>0</v>
      </c>
      <c r="O21" s="396"/>
      <c r="P21" s="396"/>
      <c r="Q21" s="396"/>
      <c r="R21" s="396"/>
    </row>
    <row r="22" spans="1:18">
      <c r="A22" s="204">
        <f t="shared" si="5"/>
        <v>10</v>
      </c>
      <c r="B22" s="204" t="s">
        <v>596</v>
      </c>
      <c r="C22" s="308">
        <v>53.22</v>
      </c>
      <c r="D22" s="308">
        <v>2.08</v>
      </c>
      <c r="E22" s="308">
        <v>49.02</v>
      </c>
      <c r="F22" s="308">
        <f>T6_FG_py_Utlsn!E21+'T6A_FG_Upy_Utlsn '!E21</f>
        <v>1254.8400000000001</v>
      </c>
      <c r="G22" s="308">
        <f t="shared" si="0"/>
        <v>37.645200000000003</v>
      </c>
      <c r="H22" s="308">
        <f t="shared" si="1"/>
        <v>1254.8400000000001</v>
      </c>
      <c r="I22" s="308">
        <f t="shared" si="2"/>
        <v>37.645200000000003</v>
      </c>
      <c r="J22" s="309">
        <f t="shared" si="3"/>
        <v>0</v>
      </c>
      <c r="K22" s="308">
        <f t="shared" si="4"/>
        <v>13.454799999999999</v>
      </c>
      <c r="L22" s="308">
        <v>0</v>
      </c>
      <c r="M22" s="308">
        <v>0</v>
      </c>
      <c r="O22" s="396"/>
      <c r="P22" s="396"/>
      <c r="Q22" s="396"/>
      <c r="R22" s="396"/>
    </row>
    <row r="23" spans="1:18">
      <c r="A23" s="204">
        <f t="shared" si="5"/>
        <v>11</v>
      </c>
      <c r="B23" s="204" t="s">
        <v>626</v>
      </c>
      <c r="C23" s="308">
        <v>30.63</v>
      </c>
      <c r="D23" s="308">
        <v>1.2</v>
      </c>
      <c r="E23" s="308">
        <v>28.22</v>
      </c>
      <c r="F23" s="308">
        <f>T6_FG_py_Utlsn!E22+'T6A_FG_Upy_Utlsn '!E22</f>
        <v>693.69</v>
      </c>
      <c r="G23" s="308">
        <f t="shared" si="0"/>
        <v>20.810700000000001</v>
      </c>
      <c r="H23" s="308">
        <f t="shared" si="1"/>
        <v>693.69</v>
      </c>
      <c r="I23" s="308">
        <f t="shared" si="2"/>
        <v>20.810700000000001</v>
      </c>
      <c r="J23" s="309">
        <f t="shared" si="3"/>
        <v>0</v>
      </c>
      <c r="K23" s="308">
        <f t="shared" si="4"/>
        <v>8.6092999999999975</v>
      </c>
      <c r="L23" s="308">
        <v>0</v>
      </c>
      <c r="M23" s="308">
        <v>0</v>
      </c>
      <c r="O23" s="396"/>
      <c r="P23" s="396"/>
      <c r="Q23" s="396"/>
      <c r="R23" s="396"/>
    </row>
    <row r="24" spans="1:18">
      <c r="A24" s="204">
        <f t="shared" si="5"/>
        <v>12</v>
      </c>
      <c r="B24" s="204" t="s">
        <v>597</v>
      </c>
      <c r="C24" s="308">
        <v>31.79</v>
      </c>
      <c r="D24" s="308">
        <v>1.24</v>
      </c>
      <c r="E24" s="308">
        <v>29.28</v>
      </c>
      <c r="F24" s="308">
        <f>T6_FG_py_Utlsn!E23+'T6A_FG_Upy_Utlsn '!E23</f>
        <v>743.83</v>
      </c>
      <c r="G24" s="308">
        <f t="shared" si="0"/>
        <v>22.314900000000002</v>
      </c>
      <c r="H24" s="308">
        <f t="shared" si="1"/>
        <v>743.83</v>
      </c>
      <c r="I24" s="308">
        <f t="shared" si="2"/>
        <v>22.314900000000002</v>
      </c>
      <c r="J24" s="309">
        <f t="shared" si="3"/>
        <v>0</v>
      </c>
      <c r="K24" s="308">
        <f t="shared" si="4"/>
        <v>8.2050999999999981</v>
      </c>
      <c r="L24" s="308">
        <v>0</v>
      </c>
      <c r="M24" s="308">
        <v>0</v>
      </c>
      <c r="O24" s="396"/>
      <c r="P24" s="396"/>
      <c r="Q24" s="396"/>
      <c r="R24" s="396"/>
    </row>
    <row r="25" spans="1:18">
      <c r="A25" s="204">
        <f t="shared" si="5"/>
        <v>13</v>
      </c>
      <c r="B25" s="204" t="s">
        <v>598</v>
      </c>
      <c r="C25" s="308">
        <v>49.25</v>
      </c>
      <c r="D25" s="308">
        <v>1.93</v>
      </c>
      <c r="E25" s="308">
        <v>45.37</v>
      </c>
      <c r="F25" s="308">
        <f>T6_FG_py_Utlsn!E24+'T6A_FG_Upy_Utlsn '!E24</f>
        <v>1162.05</v>
      </c>
      <c r="G25" s="308">
        <f t="shared" ref="G25:G37" si="6">F25*3000/100000</f>
        <v>34.861499999999999</v>
      </c>
      <c r="H25" s="308">
        <f t="shared" si="1"/>
        <v>1162.05</v>
      </c>
      <c r="I25" s="308">
        <f t="shared" ref="I25:I37" si="7">H25*3000/100000</f>
        <v>34.861499999999999</v>
      </c>
      <c r="J25" s="309">
        <f t="shared" ref="J25:J37" si="8">G25-I25</f>
        <v>0</v>
      </c>
      <c r="K25" s="308">
        <f t="shared" ref="K25:K37" si="9">D25+E25-I25</f>
        <v>12.438499999999998</v>
      </c>
      <c r="L25" s="308">
        <v>0</v>
      </c>
      <c r="M25" s="308">
        <v>0</v>
      </c>
      <c r="O25" s="396"/>
      <c r="P25" s="396"/>
      <c r="Q25" s="396"/>
      <c r="R25" s="396"/>
    </row>
    <row r="26" spans="1:18">
      <c r="A26" s="204">
        <f t="shared" si="5"/>
        <v>14</v>
      </c>
      <c r="B26" s="204" t="s">
        <v>627</v>
      </c>
      <c r="C26" s="308">
        <v>28.62</v>
      </c>
      <c r="D26" s="308">
        <v>1.1200000000000001</v>
      </c>
      <c r="E26" s="308">
        <v>26.36</v>
      </c>
      <c r="F26" s="308">
        <f>T6_FG_py_Utlsn!E25+'T6A_FG_Upy_Utlsn '!E25</f>
        <v>689.34</v>
      </c>
      <c r="G26" s="308">
        <f t="shared" si="6"/>
        <v>20.680199999999999</v>
      </c>
      <c r="H26" s="308">
        <f t="shared" si="1"/>
        <v>689.34</v>
      </c>
      <c r="I26" s="308">
        <f t="shared" si="7"/>
        <v>20.680199999999999</v>
      </c>
      <c r="J26" s="309">
        <f t="shared" si="8"/>
        <v>0</v>
      </c>
      <c r="K26" s="308">
        <f t="shared" si="9"/>
        <v>6.7998000000000012</v>
      </c>
      <c r="L26" s="308">
        <v>0</v>
      </c>
      <c r="M26" s="308">
        <v>0</v>
      </c>
      <c r="O26" s="396"/>
      <c r="P26" s="396"/>
      <c r="Q26" s="396"/>
      <c r="R26" s="396"/>
    </row>
    <row r="27" spans="1:18">
      <c r="A27" s="204">
        <f t="shared" si="5"/>
        <v>15</v>
      </c>
      <c r="B27" s="204" t="s">
        <v>599</v>
      </c>
      <c r="C27" s="308">
        <v>48.69</v>
      </c>
      <c r="D27" s="308">
        <v>1.9</v>
      </c>
      <c r="E27" s="308">
        <v>44.85</v>
      </c>
      <c r="F27" s="308">
        <f>T6_FG_py_Utlsn!E26+'T6A_FG_Upy_Utlsn '!E26</f>
        <v>1161.9099999999999</v>
      </c>
      <c r="G27" s="308">
        <f t="shared" si="6"/>
        <v>34.857299999999995</v>
      </c>
      <c r="H27" s="308">
        <f t="shared" si="1"/>
        <v>1161.9099999999999</v>
      </c>
      <c r="I27" s="308">
        <f t="shared" si="7"/>
        <v>34.857299999999995</v>
      </c>
      <c r="J27" s="309">
        <f t="shared" si="8"/>
        <v>0</v>
      </c>
      <c r="K27" s="308">
        <f t="shared" si="9"/>
        <v>11.892700000000005</v>
      </c>
      <c r="L27" s="308">
        <v>0</v>
      </c>
      <c r="M27" s="308">
        <v>0</v>
      </c>
      <c r="O27" s="396"/>
      <c r="P27" s="396"/>
      <c r="Q27" s="396"/>
      <c r="R27" s="396"/>
    </row>
    <row r="28" spans="1:18">
      <c r="A28" s="204">
        <f t="shared" si="5"/>
        <v>16</v>
      </c>
      <c r="B28" s="204" t="s">
        <v>600</v>
      </c>
      <c r="C28" s="308">
        <v>50.88</v>
      </c>
      <c r="D28" s="308">
        <v>1.99</v>
      </c>
      <c r="E28" s="308">
        <v>46.87</v>
      </c>
      <c r="F28" s="308">
        <f>T6_FG_py_Utlsn!E27+'T6A_FG_Upy_Utlsn '!E27</f>
        <v>1219.0899999999999</v>
      </c>
      <c r="G28" s="308">
        <f t="shared" si="6"/>
        <v>36.572699999999998</v>
      </c>
      <c r="H28" s="308">
        <f t="shared" si="1"/>
        <v>1219.0899999999999</v>
      </c>
      <c r="I28" s="308">
        <f t="shared" si="7"/>
        <v>36.572699999999998</v>
      </c>
      <c r="J28" s="309">
        <f t="shared" si="8"/>
        <v>0</v>
      </c>
      <c r="K28" s="308">
        <f t="shared" si="9"/>
        <v>12.287300000000002</v>
      </c>
      <c r="L28" s="308">
        <v>0</v>
      </c>
      <c r="M28" s="308">
        <v>0</v>
      </c>
      <c r="O28" s="396"/>
      <c r="P28" s="396"/>
      <c r="Q28" s="396"/>
      <c r="R28" s="396"/>
    </row>
    <row r="29" spans="1:18">
      <c r="A29" s="204">
        <f t="shared" si="5"/>
        <v>17</v>
      </c>
      <c r="B29" s="529" t="s">
        <v>684</v>
      </c>
      <c r="C29" s="308">
        <v>12.32</v>
      </c>
      <c r="D29" s="308">
        <v>0.48</v>
      </c>
      <c r="E29" s="308">
        <v>11.35</v>
      </c>
      <c r="F29" s="308">
        <f>T6_FG_py_Utlsn!E28+'T6A_FG_Upy_Utlsn '!E28</f>
        <v>279.34000000000003</v>
      </c>
      <c r="G29" s="308">
        <f t="shared" si="6"/>
        <v>8.3802000000000003</v>
      </c>
      <c r="H29" s="308">
        <f t="shared" si="1"/>
        <v>279.34000000000003</v>
      </c>
      <c r="I29" s="308">
        <f t="shared" si="7"/>
        <v>8.3802000000000003</v>
      </c>
      <c r="J29" s="309">
        <f t="shared" si="8"/>
        <v>0</v>
      </c>
      <c r="K29" s="308">
        <f t="shared" si="9"/>
        <v>3.4497999999999998</v>
      </c>
      <c r="L29" s="308">
        <v>0</v>
      </c>
      <c r="M29" s="308">
        <v>0</v>
      </c>
      <c r="O29" s="396"/>
      <c r="P29" s="396"/>
      <c r="Q29" s="396"/>
      <c r="R29" s="396"/>
    </row>
    <row r="30" spans="1:18">
      <c r="A30" s="204">
        <f t="shared" si="5"/>
        <v>18</v>
      </c>
      <c r="B30" s="204" t="s">
        <v>601</v>
      </c>
      <c r="C30" s="308">
        <v>40.81</v>
      </c>
      <c r="D30" s="308">
        <v>1.6</v>
      </c>
      <c r="E30" s="308">
        <v>37.590000000000003</v>
      </c>
      <c r="F30" s="308">
        <f>T6_FG_py_Utlsn!E29+'T6A_FG_Upy_Utlsn '!E29</f>
        <v>964.27</v>
      </c>
      <c r="G30" s="308">
        <f t="shared" si="6"/>
        <v>28.928100000000001</v>
      </c>
      <c r="H30" s="308">
        <f t="shared" si="1"/>
        <v>964.27</v>
      </c>
      <c r="I30" s="308">
        <f t="shared" si="7"/>
        <v>28.928100000000001</v>
      </c>
      <c r="J30" s="309">
        <f t="shared" si="8"/>
        <v>0</v>
      </c>
      <c r="K30" s="308">
        <f t="shared" si="9"/>
        <v>10.261900000000004</v>
      </c>
      <c r="L30" s="308">
        <v>0</v>
      </c>
      <c r="M30" s="308">
        <v>0</v>
      </c>
      <c r="O30" s="396"/>
      <c r="P30" s="396"/>
      <c r="Q30" s="396"/>
      <c r="R30" s="396"/>
    </row>
    <row r="31" spans="1:18">
      <c r="A31" s="204">
        <f t="shared" si="5"/>
        <v>19</v>
      </c>
      <c r="B31" s="204" t="s">
        <v>602</v>
      </c>
      <c r="C31" s="308">
        <v>66.040000000000006</v>
      </c>
      <c r="D31" s="308">
        <v>2.58</v>
      </c>
      <c r="E31" s="308">
        <v>60.83</v>
      </c>
      <c r="F31" s="308">
        <f>T6_FG_py_Utlsn!E30+'T6A_FG_Upy_Utlsn '!E30</f>
        <v>1571.66</v>
      </c>
      <c r="G31" s="308">
        <f t="shared" si="6"/>
        <v>47.149799999999999</v>
      </c>
      <c r="H31" s="308">
        <f t="shared" si="1"/>
        <v>1571.66</v>
      </c>
      <c r="I31" s="308">
        <f t="shared" si="7"/>
        <v>47.149799999999999</v>
      </c>
      <c r="J31" s="309">
        <f t="shared" si="8"/>
        <v>0</v>
      </c>
      <c r="K31" s="308">
        <f t="shared" si="9"/>
        <v>16.260199999999998</v>
      </c>
      <c r="L31" s="308">
        <v>0</v>
      </c>
      <c r="M31" s="308">
        <v>0</v>
      </c>
      <c r="O31" s="396"/>
      <c r="P31" s="396"/>
      <c r="Q31" s="396"/>
      <c r="R31" s="396"/>
    </row>
    <row r="32" spans="1:18">
      <c r="A32" s="204">
        <f t="shared" si="5"/>
        <v>20</v>
      </c>
      <c r="B32" s="529" t="s">
        <v>683</v>
      </c>
      <c r="C32" s="308">
        <v>38.6</v>
      </c>
      <c r="D32" s="308">
        <v>1.51</v>
      </c>
      <c r="E32" s="308">
        <v>35.549999999999997</v>
      </c>
      <c r="F32" s="308">
        <f>T6_FG_py_Utlsn!E31+'T6A_FG_Upy_Utlsn '!E31</f>
        <v>914.5</v>
      </c>
      <c r="G32" s="308">
        <f t="shared" si="6"/>
        <v>27.434999999999999</v>
      </c>
      <c r="H32" s="308">
        <f t="shared" si="1"/>
        <v>914.5</v>
      </c>
      <c r="I32" s="308">
        <f t="shared" si="7"/>
        <v>27.434999999999999</v>
      </c>
      <c r="J32" s="309">
        <f t="shared" si="8"/>
        <v>0</v>
      </c>
      <c r="K32" s="308">
        <f t="shared" si="9"/>
        <v>9.6249999999999964</v>
      </c>
      <c r="L32" s="308">
        <v>0</v>
      </c>
      <c r="M32" s="308">
        <v>0</v>
      </c>
      <c r="O32" s="396"/>
      <c r="P32" s="396"/>
      <c r="Q32" s="396"/>
      <c r="R32" s="396"/>
    </row>
    <row r="33" spans="1:18">
      <c r="A33" s="204">
        <f t="shared" si="5"/>
        <v>21</v>
      </c>
      <c r="B33" s="529" t="s">
        <v>628</v>
      </c>
      <c r="C33" s="308">
        <v>32.08</v>
      </c>
      <c r="D33" s="308">
        <v>1.26</v>
      </c>
      <c r="E33" s="308">
        <v>29.55</v>
      </c>
      <c r="F33" s="308">
        <f>T6_FG_py_Utlsn!E32+'T6A_FG_Upy_Utlsn '!E32</f>
        <v>748.61</v>
      </c>
      <c r="G33" s="308">
        <f t="shared" si="6"/>
        <v>22.458300000000001</v>
      </c>
      <c r="H33" s="308">
        <f t="shared" si="1"/>
        <v>748.61</v>
      </c>
      <c r="I33" s="308">
        <f t="shared" si="7"/>
        <v>22.458300000000001</v>
      </c>
      <c r="J33" s="309">
        <f t="shared" si="8"/>
        <v>0</v>
      </c>
      <c r="K33" s="308">
        <f t="shared" si="9"/>
        <v>8.351700000000001</v>
      </c>
      <c r="L33" s="308">
        <v>0</v>
      </c>
      <c r="M33" s="308">
        <v>0</v>
      </c>
      <c r="O33" s="396"/>
      <c r="P33" s="396"/>
      <c r="Q33" s="396"/>
      <c r="R33" s="396"/>
    </row>
    <row r="34" spans="1:18">
      <c r="A34" s="204">
        <f t="shared" si="5"/>
        <v>22</v>
      </c>
      <c r="B34" s="204" t="s">
        <v>603</v>
      </c>
      <c r="C34" s="308">
        <v>66.930000000000007</v>
      </c>
      <c r="D34" s="308">
        <v>2.62</v>
      </c>
      <c r="E34" s="308">
        <v>61.65</v>
      </c>
      <c r="F34" s="308">
        <f>T6_FG_py_Utlsn!E33+'T6A_FG_Upy_Utlsn '!E33</f>
        <v>1588.52</v>
      </c>
      <c r="G34" s="308">
        <f t="shared" si="6"/>
        <v>47.6556</v>
      </c>
      <c r="H34" s="308">
        <f t="shared" si="1"/>
        <v>1588.52</v>
      </c>
      <c r="I34" s="308">
        <f t="shared" si="7"/>
        <v>47.6556</v>
      </c>
      <c r="J34" s="309">
        <f t="shared" si="8"/>
        <v>0</v>
      </c>
      <c r="K34" s="308">
        <f t="shared" si="9"/>
        <v>16.614399999999996</v>
      </c>
      <c r="L34" s="308">
        <v>0</v>
      </c>
      <c r="M34" s="308">
        <v>0</v>
      </c>
      <c r="O34" s="396"/>
      <c r="P34" s="396"/>
      <c r="Q34" s="396"/>
      <c r="R34" s="396"/>
    </row>
    <row r="35" spans="1:18">
      <c r="A35" s="204">
        <f t="shared" si="5"/>
        <v>23</v>
      </c>
      <c r="B35" s="204" t="s">
        <v>604</v>
      </c>
      <c r="C35" s="308">
        <v>20.399999999999999</v>
      </c>
      <c r="D35" s="308">
        <v>0.8</v>
      </c>
      <c r="E35" s="308">
        <v>18.79</v>
      </c>
      <c r="F35" s="308">
        <f>T6_FG_py_Utlsn!E34+'T6A_FG_Upy_Utlsn '!E34</f>
        <v>495.45</v>
      </c>
      <c r="G35" s="308">
        <f t="shared" si="6"/>
        <v>14.8635</v>
      </c>
      <c r="H35" s="308">
        <f t="shared" si="1"/>
        <v>495.45</v>
      </c>
      <c r="I35" s="308">
        <f t="shared" si="7"/>
        <v>14.8635</v>
      </c>
      <c r="J35" s="309">
        <f t="shared" si="8"/>
        <v>0</v>
      </c>
      <c r="K35" s="308">
        <f t="shared" si="9"/>
        <v>4.7264999999999997</v>
      </c>
      <c r="L35" s="308">
        <v>0</v>
      </c>
      <c r="M35" s="308">
        <v>0</v>
      </c>
      <c r="O35" s="396"/>
      <c r="P35" s="396"/>
      <c r="Q35" s="396"/>
      <c r="R35" s="396"/>
    </row>
    <row r="36" spans="1:18">
      <c r="A36" s="204">
        <f t="shared" si="5"/>
        <v>24</v>
      </c>
      <c r="B36" s="204" t="s">
        <v>605</v>
      </c>
      <c r="C36" s="308">
        <v>21.95</v>
      </c>
      <c r="D36" s="308">
        <v>0.86</v>
      </c>
      <c r="E36" s="308">
        <v>20.22</v>
      </c>
      <c r="F36" s="308">
        <f>T6_FG_py_Utlsn!E35+'T6A_FG_Upy_Utlsn '!E35</f>
        <v>518.26</v>
      </c>
      <c r="G36" s="308">
        <f t="shared" si="6"/>
        <v>15.547800000000001</v>
      </c>
      <c r="H36" s="308">
        <f t="shared" si="1"/>
        <v>518.26</v>
      </c>
      <c r="I36" s="308">
        <f t="shared" si="7"/>
        <v>15.547800000000001</v>
      </c>
      <c r="J36" s="309">
        <f t="shared" si="8"/>
        <v>0</v>
      </c>
      <c r="K36" s="308">
        <f t="shared" si="9"/>
        <v>5.5321999999999978</v>
      </c>
      <c r="L36" s="308">
        <v>0</v>
      </c>
      <c r="M36" s="308">
        <v>0</v>
      </c>
      <c r="O36" s="396"/>
      <c r="P36" s="396"/>
      <c r="Q36" s="396"/>
      <c r="R36" s="396"/>
    </row>
    <row r="37" spans="1:18">
      <c r="A37" s="204">
        <f t="shared" si="5"/>
        <v>25</v>
      </c>
      <c r="B37" s="204" t="s">
        <v>606</v>
      </c>
      <c r="C37" s="308">
        <v>91.06</v>
      </c>
      <c r="D37" s="308">
        <v>3.56</v>
      </c>
      <c r="E37" s="308">
        <v>83.87</v>
      </c>
      <c r="F37" s="308">
        <f>T6_FG_py_Utlsn!E36+'T6A_FG_Upy_Utlsn '!E36</f>
        <v>2173.8599999999997</v>
      </c>
      <c r="G37" s="308">
        <f t="shared" si="6"/>
        <v>65.215799999999987</v>
      </c>
      <c r="H37" s="308">
        <f t="shared" si="1"/>
        <v>2173.8599999999997</v>
      </c>
      <c r="I37" s="308">
        <f t="shared" si="7"/>
        <v>65.215799999999987</v>
      </c>
      <c r="J37" s="309">
        <f t="shared" si="8"/>
        <v>0</v>
      </c>
      <c r="K37" s="308">
        <f t="shared" si="9"/>
        <v>22.214200000000019</v>
      </c>
      <c r="L37" s="308">
        <v>0</v>
      </c>
      <c r="M37" s="308">
        <v>0</v>
      </c>
      <c r="O37" s="396"/>
      <c r="P37" s="396"/>
      <c r="Q37" s="396"/>
      <c r="R37" s="396"/>
    </row>
    <row r="38" spans="1:18">
      <c r="A38" s="204">
        <f t="shared" si="5"/>
        <v>26</v>
      </c>
      <c r="B38" s="204" t="s">
        <v>607</v>
      </c>
      <c r="C38" s="308">
        <v>72.540000000000006</v>
      </c>
      <c r="D38" s="308">
        <v>2.84</v>
      </c>
      <c r="E38" s="308">
        <v>66.819999999999993</v>
      </c>
      <c r="F38" s="308">
        <f>T6_FG_py_Utlsn!E37+'T6A_FG_Upy_Utlsn '!E37</f>
        <v>1725.55</v>
      </c>
      <c r="G38" s="308">
        <f t="shared" si="0"/>
        <v>51.766500000000001</v>
      </c>
      <c r="H38" s="308">
        <f t="shared" si="1"/>
        <v>1725.55</v>
      </c>
      <c r="I38" s="308">
        <f t="shared" si="2"/>
        <v>51.766500000000001</v>
      </c>
      <c r="J38" s="309">
        <f t="shared" si="3"/>
        <v>0</v>
      </c>
      <c r="K38" s="308">
        <f t="shared" si="4"/>
        <v>17.893499999999996</v>
      </c>
      <c r="L38" s="308">
        <v>0</v>
      </c>
      <c r="M38" s="308">
        <v>0</v>
      </c>
      <c r="O38" s="396"/>
      <c r="P38" s="396"/>
      <c r="Q38" s="396"/>
      <c r="R38" s="396"/>
    </row>
    <row r="39" spans="1:18">
      <c r="A39" s="204">
        <f t="shared" si="5"/>
        <v>27</v>
      </c>
      <c r="B39" s="204" t="s">
        <v>608</v>
      </c>
      <c r="C39" s="308">
        <v>50.66</v>
      </c>
      <c r="D39" s="308">
        <v>1.98</v>
      </c>
      <c r="E39" s="308">
        <v>46.67</v>
      </c>
      <c r="F39" s="308">
        <f>T6_FG_py_Utlsn!E38+'T6A_FG_Upy_Utlsn '!E38</f>
        <v>1224.96</v>
      </c>
      <c r="G39" s="308">
        <f t="shared" si="0"/>
        <v>36.748800000000003</v>
      </c>
      <c r="H39" s="308">
        <f t="shared" si="1"/>
        <v>1224.96</v>
      </c>
      <c r="I39" s="308">
        <f t="shared" si="2"/>
        <v>36.748800000000003</v>
      </c>
      <c r="J39" s="309">
        <f t="shared" si="3"/>
        <v>0</v>
      </c>
      <c r="K39" s="308">
        <f t="shared" si="4"/>
        <v>11.901199999999996</v>
      </c>
      <c r="L39" s="308">
        <v>0</v>
      </c>
      <c r="M39" s="308">
        <v>0</v>
      </c>
      <c r="O39" s="396"/>
      <c r="P39" s="396"/>
      <c r="Q39" s="396"/>
      <c r="R39" s="396"/>
    </row>
    <row r="40" spans="1:18">
      <c r="A40" s="204">
        <f t="shared" si="5"/>
        <v>28</v>
      </c>
      <c r="B40" s="204" t="s">
        <v>609</v>
      </c>
      <c r="C40" s="308">
        <v>36.54</v>
      </c>
      <c r="D40" s="308">
        <v>1.43</v>
      </c>
      <c r="E40" s="308">
        <v>33.659999999999997</v>
      </c>
      <c r="F40" s="308">
        <f>T6_FG_py_Utlsn!E39+'T6A_FG_Upy_Utlsn '!E39</f>
        <v>865.12</v>
      </c>
      <c r="G40" s="308">
        <f t="shared" si="0"/>
        <v>25.953600000000002</v>
      </c>
      <c r="H40" s="308">
        <f t="shared" si="1"/>
        <v>865.12</v>
      </c>
      <c r="I40" s="308">
        <f t="shared" si="2"/>
        <v>25.953600000000002</v>
      </c>
      <c r="J40" s="309">
        <f t="shared" si="3"/>
        <v>0</v>
      </c>
      <c r="K40" s="308">
        <f t="shared" si="4"/>
        <v>9.1363999999999947</v>
      </c>
      <c r="L40" s="308">
        <v>0</v>
      </c>
      <c r="M40" s="308">
        <v>0</v>
      </c>
      <c r="O40" s="396"/>
      <c r="P40" s="396"/>
      <c r="Q40" s="396"/>
      <c r="R40" s="396"/>
    </row>
    <row r="41" spans="1:18">
      <c r="A41" s="204">
        <f t="shared" si="5"/>
        <v>29</v>
      </c>
      <c r="B41" s="204" t="s">
        <v>610</v>
      </c>
      <c r="C41" s="308">
        <v>58.25</v>
      </c>
      <c r="D41" s="308">
        <v>2.2799999999999998</v>
      </c>
      <c r="E41" s="308">
        <v>53.66</v>
      </c>
      <c r="F41" s="308">
        <f>T6_FG_py_Utlsn!E40+'T6A_FG_Upy_Utlsn '!E40</f>
        <v>1376.3899999999999</v>
      </c>
      <c r="G41" s="308">
        <f t="shared" si="0"/>
        <v>41.291699999999999</v>
      </c>
      <c r="H41" s="308">
        <f t="shared" si="1"/>
        <v>1376.3899999999999</v>
      </c>
      <c r="I41" s="308">
        <f t="shared" si="2"/>
        <v>41.291699999999999</v>
      </c>
      <c r="J41" s="309">
        <f t="shared" si="3"/>
        <v>0</v>
      </c>
      <c r="K41" s="308">
        <f t="shared" si="4"/>
        <v>14.648299999999999</v>
      </c>
      <c r="L41" s="308">
        <v>0</v>
      </c>
      <c r="M41" s="308">
        <v>0</v>
      </c>
      <c r="O41" s="396"/>
      <c r="P41" s="396"/>
      <c r="Q41" s="396"/>
      <c r="R41" s="396"/>
    </row>
    <row r="42" spans="1:18" s="66" customFormat="1">
      <c r="A42" s="204">
        <f t="shared" si="5"/>
        <v>30</v>
      </c>
      <c r="B42" s="502" t="s">
        <v>611</v>
      </c>
      <c r="C42" s="308">
        <v>28.67</v>
      </c>
      <c r="D42" s="308">
        <v>1.1200000000000001</v>
      </c>
      <c r="E42" s="308">
        <v>26.4</v>
      </c>
      <c r="F42" s="308">
        <f>T6_FG_py_Utlsn!E41+'T6A_FG_Upy_Utlsn '!E41</f>
        <v>678.72</v>
      </c>
      <c r="G42" s="308">
        <f t="shared" si="0"/>
        <v>20.361599999999999</v>
      </c>
      <c r="H42" s="308">
        <f t="shared" si="1"/>
        <v>678.72</v>
      </c>
      <c r="I42" s="308">
        <f t="shared" si="2"/>
        <v>20.361599999999999</v>
      </c>
      <c r="J42" s="309">
        <f t="shared" si="3"/>
        <v>0</v>
      </c>
      <c r="K42" s="308">
        <f t="shared" si="4"/>
        <v>7.1584000000000003</v>
      </c>
      <c r="L42" s="308">
        <v>0</v>
      </c>
      <c r="M42" s="308">
        <v>0</v>
      </c>
      <c r="O42" s="396"/>
      <c r="P42" s="396"/>
      <c r="Q42" s="396"/>
      <c r="R42" s="396"/>
    </row>
    <row r="43" spans="1:18" s="66" customFormat="1">
      <c r="A43" s="204">
        <f t="shared" si="5"/>
        <v>31</v>
      </c>
      <c r="B43" s="502" t="s">
        <v>612</v>
      </c>
      <c r="C43" s="308">
        <v>22.33</v>
      </c>
      <c r="D43" s="308">
        <v>0.87</v>
      </c>
      <c r="E43" s="308">
        <v>20.57</v>
      </c>
      <c r="F43" s="308">
        <f>T6_FG_py_Utlsn!E42+'T6A_FG_Upy_Utlsn '!E42</f>
        <v>527.29</v>
      </c>
      <c r="G43" s="308">
        <f t="shared" si="0"/>
        <v>15.8187</v>
      </c>
      <c r="H43" s="308">
        <f t="shared" si="1"/>
        <v>527.29</v>
      </c>
      <c r="I43" s="308">
        <f t="shared" si="2"/>
        <v>15.8187</v>
      </c>
      <c r="J43" s="309">
        <f t="shared" si="3"/>
        <v>0</v>
      </c>
      <c r="K43" s="308">
        <f t="shared" si="4"/>
        <v>5.6213000000000015</v>
      </c>
      <c r="L43" s="308">
        <v>0</v>
      </c>
      <c r="M43" s="308">
        <v>0</v>
      </c>
      <c r="O43" s="396"/>
      <c r="P43" s="396"/>
      <c r="Q43" s="396"/>
      <c r="R43" s="396"/>
    </row>
    <row r="44" spans="1:18">
      <c r="A44" s="204">
        <f t="shared" si="5"/>
        <v>32</v>
      </c>
      <c r="B44" s="502" t="s">
        <v>613</v>
      </c>
      <c r="C44" s="308">
        <v>28.67</v>
      </c>
      <c r="D44" s="308">
        <v>1.1200000000000001</v>
      </c>
      <c r="E44" s="308">
        <v>26.41</v>
      </c>
      <c r="F44" s="308">
        <f>T6_FG_py_Utlsn!E43+'T6A_FG_Upy_Utlsn '!E43</f>
        <v>679.55</v>
      </c>
      <c r="G44" s="308">
        <f t="shared" si="0"/>
        <v>20.386499999999998</v>
      </c>
      <c r="H44" s="308">
        <f t="shared" si="1"/>
        <v>679.55</v>
      </c>
      <c r="I44" s="308">
        <f t="shared" si="2"/>
        <v>20.386499999999998</v>
      </c>
      <c r="J44" s="309">
        <f t="shared" si="3"/>
        <v>0</v>
      </c>
      <c r="K44" s="308">
        <f t="shared" si="4"/>
        <v>7.1435000000000031</v>
      </c>
      <c r="L44" s="308">
        <v>0</v>
      </c>
      <c r="M44" s="308">
        <v>0</v>
      </c>
      <c r="O44" s="396"/>
      <c r="P44" s="396"/>
      <c r="Q44" s="396"/>
      <c r="R44" s="396"/>
    </row>
    <row r="45" spans="1:18" ht="15.75" customHeight="1">
      <c r="A45" s="204">
        <f t="shared" si="5"/>
        <v>33</v>
      </c>
      <c r="B45" s="502" t="s">
        <v>614</v>
      </c>
      <c r="C45" s="308">
        <v>27.35</v>
      </c>
      <c r="D45" s="308">
        <v>1.07</v>
      </c>
      <c r="E45" s="308">
        <v>25.19</v>
      </c>
      <c r="F45" s="308">
        <f>T6_FG_py_Utlsn!E44+'T6A_FG_Upy_Utlsn '!E44</f>
        <v>665.61</v>
      </c>
      <c r="G45" s="308">
        <f t="shared" si="0"/>
        <v>19.968299999999999</v>
      </c>
      <c r="H45" s="308">
        <f t="shared" si="1"/>
        <v>665.61</v>
      </c>
      <c r="I45" s="308">
        <f t="shared" si="2"/>
        <v>19.968299999999999</v>
      </c>
      <c r="J45" s="309">
        <f t="shared" si="3"/>
        <v>0</v>
      </c>
      <c r="K45" s="308">
        <f t="shared" si="4"/>
        <v>6.2917000000000023</v>
      </c>
      <c r="L45" s="308">
        <v>0</v>
      </c>
      <c r="M45" s="308">
        <v>0</v>
      </c>
      <c r="O45" s="396"/>
      <c r="P45" s="396"/>
      <c r="Q45" s="396"/>
      <c r="R45" s="396"/>
    </row>
    <row r="46" spans="1:18" s="106" customFormat="1" ht="15.75" customHeight="1">
      <c r="A46" s="274"/>
      <c r="B46" s="274" t="s">
        <v>615</v>
      </c>
      <c r="C46" s="310">
        <f>SUM(C13:C45)</f>
        <v>1390.51</v>
      </c>
      <c r="D46" s="310">
        <f t="shared" ref="D46:M46" si="10">SUM(D13:D45)</f>
        <v>54.389999999999972</v>
      </c>
      <c r="E46" s="310">
        <f t="shared" si="10"/>
        <v>1280.8200000000004</v>
      </c>
      <c r="F46" s="310">
        <f t="shared" si="10"/>
        <v>32877.619999999995</v>
      </c>
      <c r="G46" s="310">
        <f t="shared" si="10"/>
        <v>986.32860000000005</v>
      </c>
      <c r="H46" s="310">
        <f t="shared" si="10"/>
        <v>31968.287</v>
      </c>
      <c r="I46" s="310">
        <f t="shared" si="10"/>
        <v>959.04860000000008</v>
      </c>
      <c r="J46" s="310">
        <f t="shared" si="10"/>
        <v>27.28</v>
      </c>
      <c r="K46" s="310">
        <f t="shared" si="10"/>
        <v>376.16140000000007</v>
      </c>
      <c r="L46" s="310">
        <f t="shared" si="10"/>
        <v>0</v>
      </c>
      <c r="M46" s="310">
        <f t="shared" si="10"/>
        <v>0</v>
      </c>
    </row>
    <row r="47" spans="1:18" s="333" customFormat="1">
      <c r="E47" s="622"/>
      <c r="J47" s="334"/>
    </row>
    <row r="48" spans="1:18">
      <c r="J48" s="65"/>
    </row>
    <row r="49" spans="10:13" ht="15.75" customHeight="1"/>
    <row r="50" spans="10:13" ht="15.75">
      <c r="J50" s="761" t="s">
        <v>908</v>
      </c>
      <c r="K50" s="761"/>
      <c r="L50" s="761"/>
      <c r="M50" s="761"/>
    </row>
    <row r="51" spans="10:13" ht="15.75">
      <c r="J51" s="761" t="s">
        <v>646</v>
      </c>
      <c r="K51" s="761"/>
      <c r="L51" s="761"/>
      <c r="M51" s="761"/>
    </row>
  </sheetData>
  <mergeCells count="19">
    <mergeCell ref="J50:M50"/>
    <mergeCell ref="J51:M51"/>
    <mergeCell ref="A6:M6"/>
    <mergeCell ref="A4:M4"/>
    <mergeCell ref="A3:M3"/>
    <mergeCell ref="D9:D11"/>
    <mergeCell ref="E9:E11"/>
    <mergeCell ref="A9:A11"/>
    <mergeCell ref="M9:M11"/>
    <mergeCell ref="L9:L11"/>
    <mergeCell ref="B9:B11"/>
    <mergeCell ref="K1:M1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48" right="0.44" top="0.41" bottom="0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view="pageBreakPreview" zoomScale="90" zoomScaleNormal="70" zoomScaleSheetLayoutView="90" workbookViewId="0"/>
  </sheetViews>
  <sheetFormatPr defaultColWidth="9.140625" defaultRowHeight="12.75"/>
  <cols>
    <col min="1" max="1" width="5.5703125" style="6" customWidth="1"/>
    <col min="2" max="2" width="24.5703125" style="6" customWidth="1"/>
    <col min="3" max="3" width="10.5703125" style="6" customWidth="1"/>
    <col min="4" max="4" width="9.85546875" style="6" customWidth="1"/>
    <col min="5" max="5" width="8.7109375" style="6" customWidth="1"/>
    <col min="6" max="6" width="10.85546875" style="6" customWidth="1"/>
    <col min="7" max="7" width="15.85546875" style="6" customWidth="1"/>
    <col min="8" max="8" width="12.42578125" style="6" customWidth="1"/>
    <col min="9" max="9" width="12.140625" style="6" customWidth="1"/>
    <col min="10" max="10" width="9" style="6" customWidth="1"/>
    <col min="11" max="11" width="12" style="6" customWidth="1"/>
    <col min="12" max="12" width="17.28515625" style="6" customWidth="1"/>
    <col min="13" max="13" width="9.140625" style="6" hidden="1" customWidth="1"/>
    <col min="14" max="16384" width="9.140625" style="6"/>
  </cols>
  <sheetData>
    <row r="1" spans="1:19" customFormat="1" ht="15">
      <c r="D1" s="21"/>
      <c r="E1" s="21"/>
      <c r="F1" s="21"/>
      <c r="G1" s="21"/>
      <c r="H1" s="21"/>
      <c r="I1" s="21"/>
      <c r="J1" s="21"/>
      <c r="K1" s="21"/>
      <c r="L1" s="828" t="s">
        <v>424</v>
      </c>
      <c r="M1" s="828"/>
      <c r="N1" s="828"/>
      <c r="O1" s="25"/>
      <c r="P1" s="25"/>
    </row>
    <row r="2" spans="1:19" customFormat="1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27"/>
      <c r="N2" s="27"/>
      <c r="O2" s="27"/>
      <c r="P2" s="27"/>
    </row>
    <row r="3" spans="1:19" customFormat="1" ht="20.25">
      <c r="A3" s="807" t="s">
        <v>737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26"/>
      <c r="N3" s="26"/>
      <c r="O3" s="26"/>
      <c r="P3" s="26"/>
    </row>
    <row r="4" spans="1:19" customFormat="1" ht="10.5" customHeight="1"/>
    <row r="5" spans="1:19" ht="19.5" customHeight="1">
      <c r="A5" s="805" t="s">
        <v>748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19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9">
      <c r="A7" s="699" t="s">
        <v>658</v>
      </c>
      <c r="B7" s="699"/>
      <c r="F7" s="829" t="s">
        <v>17</v>
      </c>
      <c r="G7" s="829"/>
      <c r="H7" s="829"/>
      <c r="I7" s="829"/>
      <c r="J7" s="829"/>
      <c r="K7" s="829"/>
      <c r="L7" s="829"/>
    </row>
    <row r="8" spans="1:19">
      <c r="A8" s="5"/>
      <c r="F8" s="7"/>
      <c r="G8" s="46"/>
      <c r="H8" s="46"/>
      <c r="I8" s="793" t="s">
        <v>774</v>
      </c>
      <c r="J8" s="793"/>
      <c r="K8" s="793"/>
      <c r="L8" s="793"/>
    </row>
    <row r="9" spans="1:19" s="5" customFormat="1">
      <c r="A9" s="668" t="s">
        <v>2</v>
      </c>
      <c r="B9" s="668" t="s">
        <v>3</v>
      </c>
      <c r="C9" s="677" t="s">
        <v>21</v>
      </c>
      <c r="D9" s="678"/>
      <c r="E9" s="678"/>
      <c r="F9" s="678"/>
      <c r="G9" s="678"/>
      <c r="H9" s="677" t="s">
        <v>22</v>
      </c>
      <c r="I9" s="678"/>
      <c r="J9" s="678"/>
      <c r="K9" s="678"/>
      <c r="L9" s="678"/>
      <c r="R9" s="17"/>
      <c r="S9" s="18"/>
    </row>
    <row r="10" spans="1:19" s="5" customFormat="1" ht="63.75">
      <c r="A10" s="668"/>
      <c r="B10" s="668"/>
      <c r="C10" s="525" t="s">
        <v>749</v>
      </c>
      <c r="D10" s="442" t="s">
        <v>704</v>
      </c>
      <c r="E10" s="1" t="s">
        <v>66</v>
      </c>
      <c r="F10" s="1" t="s">
        <v>67</v>
      </c>
      <c r="G10" s="1" t="s">
        <v>357</v>
      </c>
      <c r="H10" s="525" t="s">
        <v>749</v>
      </c>
      <c r="I10" s="442" t="s">
        <v>704</v>
      </c>
      <c r="J10" s="1" t="s">
        <v>66</v>
      </c>
      <c r="K10" s="1" t="s">
        <v>67</v>
      </c>
      <c r="L10" s="1" t="s">
        <v>358</v>
      </c>
    </row>
    <row r="11" spans="1:19" s="5" customForma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9" s="5" customFormat="1">
      <c r="A12" s="204">
        <v>1</v>
      </c>
      <c r="B12" s="204" t="s">
        <v>624</v>
      </c>
      <c r="C12" s="844" t="s">
        <v>629</v>
      </c>
      <c r="D12" s="845"/>
      <c r="E12" s="845"/>
      <c r="F12" s="845"/>
      <c r="G12" s="845"/>
      <c r="H12" s="845"/>
      <c r="I12" s="845"/>
      <c r="J12" s="845"/>
      <c r="K12" s="845"/>
      <c r="L12" s="846"/>
    </row>
    <row r="13" spans="1:19" s="5" customFormat="1">
      <c r="A13" s="204">
        <f>A12+1</f>
        <v>2</v>
      </c>
      <c r="B13" s="204" t="s">
        <v>589</v>
      </c>
      <c r="C13" s="847"/>
      <c r="D13" s="848"/>
      <c r="E13" s="848"/>
      <c r="F13" s="848"/>
      <c r="G13" s="848"/>
      <c r="H13" s="848"/>
      <c r="I13" s="848"/>
      <c r="J13" s="848"/>
      <c r="K13" s="848"/>
      <c r="L13" s="849"/>
    </row>
    <row r="14" spans="1:19" s="5" customFormat="1">
      <c r="A14" s="204">
        <f t="shared" ref="A14:A44" si="0">A13+1</f>
        <v>3</v>
      </c>
      <c r="B14" s="204" t="s">
        <v>625</v>
      </c>
      <c r="C14" s="847"/>
      <c r="D14" s="848"/>
      <c r="E14" s="848"/>
      <c r="F14" s="848"/>
      <c r="G14" s="848"/>
      <c r="H14" s="848"/>
      <c r="I14" s="848"/>
      <c r="J14" s="848"/>
      <c r="K14" s="848"/>
      <c r="L14" s="849"/>
    </row>
    <row r="15" spans="1:19" s="5" customFormat="1">
      <c r="A15" s="204">
        <f t="shared" si="0"/>
        <v>4</v>
      </c>
      <c r="B15" s="204" t="s">
        <v>590</v>
      </c>
      <c r="C15" s="847"/>
      <c r="D15" s="848"/>
      <c r="E15" s="848"/>
      <c r="F15" s="848"/>
      <c r="G15" s="848"/>
      <c r="H15" s="848"/>
      <c r="I15" s="848"/>
      <c r="J15" s="848"/>
      <c r="K15" s="848"/>
      <c r="L15" s="849"/>
    </row>
    <row r="16" spans="1:19" s="5" customFormat="1">
      <c r="A16" s="204">
        <f t="shared" si="0"/>
        <v>5</v>
      </c>
      <c r="B16" s="204" t="s">
        <v>591</v>
      </c>
      <c r="C16" s="847"/>
      <c r="D16" s="848"/>
      <c r="E16" s="848"/>
      <c r="F16" s="848"/>
      <c r="G16" s="848"/>
      <c r="H16" s="848"/>
      <c r="I16" s="848"/>
      <c r="J16" s="848"/>
      <c r="K16" s="848"/>
      <c r="L16" s="849"/>
    </row>
    <row r="17" spans="1:12" s="5" customFormat="1">
      <c r="A17" s="204">
        <f t="shared" si="0"/>
        <v>6</v>
      </c>
      <c r="B17" s="204" t="s">
        <v>592</v>
      </c>
      <c r="C17" s="847"/>
      <c r="D17" s="848"/>
      <c r="E17" s="848"/>
      <c r="F17" s="848"/>
      <c r="G17" s="848"/>
      <c r="H17" s="848"/>
      <c r="I17" s="848"/>
      <c r="J17" s="848"/>
      <c r="K17" s="848"/>
      <c r="L17" s="849"/>
    </row>
    <row r="18" spans="1:12" s="5" customFormat="1">
      <c r="A18" s="204">
        <f t="shared" si="0"/>
        <v>7</v>
      </c>
      <c r="B18" s="204" t="s">
        <v>593</v>
      </c>
      <c r="C18" s="847"/>
      <c r="D18" s="848"/>
      <c r="E18" s="848"/>
      <c r="F18" s="848"/>
      <c r="G18" s="848"/>
      <c r="H18" s="848"/>
      <c r="I18" s="848"/>
      <c r="J18" s="848"/>
      <c r="K18" s="848"/>
      <c r="L18" s="849"/>
    </row>
    <row r="19" spans="1:12" s="5" customFormat="1">
      <c r="A19" s="204">
        <f t="shared" si="0"/>
        <v>8</v>
      </c>
      <c r="B19" s="204" t="s">
        <v>594</v>
      </c>
      <c r="C19" s="847"/>
      <c r="D19" s="848"/>
      <c r="E19" s="848"/>
      <c r="F19" s="848"/>
      <c r="G19" s="848"/>
      <c r="H19" s="848"/>
      <c r="I19" s="848"/>
      <c r="J19" s="848"/>
      <c r="K19" s="848"/>
      <c r="L19" s="849"/>
    </row>
    <row r="20" spans="1:12" s="5" customFormat="1">
      <c r="A20" s="204">
        <f t="shared" si="0"/>
        <v>9</v>
      </c>
      <c r="B20" s="204" t="s">
        <v>595</v>
      </c>
      <c r="C20" s="847"/>
      <c r="D20" s="848"/>
      <c r="E20" s="848"/>
      <c r="F20" s="848"/>
      <c r="G20" s="848"/>
      <c r="H20" s="848"/>
      <c r="I20" s="848"/>
      <c r="J20" s="848"/>
      <c r="K20" s="848"/>
      <c r="L20" s="849"/>
    </row>
    <row r="21" spans="1:12" s="5" customFormat="1">
      <c r="A21" s="204">
        <f t="shared" si="0"/>
        <v>10</v>
      </c>
      <c r="B21" s="204" t="s">
        <v>596</v>
      </c>
      <c r="C21" s="847"/>
      <c r="D21" s="848"/>
      <c r="E21" s="848"/>
      <c r="F21" s="848"/>
      <c r="G21" s="848"/>
      <c r="H21" s="848"/>
      <c r="I21" s="848"/>
      <c r="J21" s="848"/>
      <c r="K21" s="848"/>
      <c r="L21" s="849"/>
    </row>
    <row r="22" spans="1:12" s="5" customFormat="1">
      <c r="A22" s="204">
        <f t="shared" si="0"/>
        <v>11</v>
      </c>
      <c r="B22" s="204" t="s">
        <v>626</v>
      </c>
      <c r="C22" s="847"/>
      <c r="D22" s="848"/>
      <c r="E22" s="848"/>
      <c r="F22" s="848"/>
      <c r="G22" s="848"/>
      <c r="H22" s="848"/>
      <c r="I22" s="848"/>
      <c r="J22" s="848"/>
      <c r="K22" s="848"/>
      <c r="L22" s="849"/>
    </row>
    <row r="23" spans="1:12" s="5" customFormat="1">
      <c r="A23" s="204">
        <f t="shared" si="0"/>
        <v>12</v>
      </c>
      <c r="B23" s="204" t="s">
        <v>597</v>
      </c>
      <c r="C23" s="847"/>
      <c r="D23" s="848"/>
      <c r="E23" s="848"/>
      <c r="F23" s="848"/>
      <c r="G23" s="848"/>
      <c r="H23" s="848"/>
      <c r="I23" s="848"/>
      <c r="J23" s="848"/>
      <c r="K23" s="848"/>
      <c r="L23" s="849"/>
    </row>
    <row r="24" spans="1:12" s="5" customFormat="1">
      <c r="A24" s="204">
        <f t="shared" si="0"/>
        <v>13</v>
      </c>
      <c r="B24" s="204" t="s">
        <v>598</v>
      </c>
      <c r="C24" s="847"/>
      <c r="D24" s="848"/>
      <c r="E24" s="848"/>
      <c r="F24" s="848"/>
      <c r="G24" s="848"/>
      <c r="H24" s="848"/>
      <c r="I24" s="848"/>
      <c r="J24" s="848"/>
      <c r="K24" s="848"/>
      <c r="L24" s="849"/>
    </row>
    <row r="25" spans="1:12" s="5" customFormat="1">
      <c r="A25" s="204">
        <f t="shared" si="0"/>
        <v>14</v>
      </c>
      <c r="B25" s="204" t="s">
        <v>627</v>
      </c>
      <c r="C25" s="847"/>
      <c r="D25" s="848"/>
      <c r="E25" s="848"/>
      <c r="F25" s="848"/>
      <c r="G25" s="848"/>
      <c r="H25" s="848"/>
      <c r="I25" s="848"/>
      <c r="J25" s="848"/>
      <c r="K25" s="848"/>
      <c r="L25" s="849"/>
    </row>
    <row r="26" spans="1:12" s="5" customFormat="1">
      <c r="A26" s="204">
        <f t="shared" si="0"/>
        <v>15</v>
      </c>
      <c r="B26" s="204" t="s">
        <v>599</v>
      </c>
      <c r="C26" s="847"/>
      <c r="D26" s="848"/>
      <c r="E26" s="848"/>
      <c r="F26" s="848"/>
      <c r="G26" s="848"/>
      <c r="H26" s="848"/>
      <c r="I26" s="848"/>
      <c r="J26" s="848"/>
      <c r="K26" s="848"/>
      <c r="L26" s="849"/>
    </row>
    <row r="27" spans="1:12" s="5" customFormat="1">
      <c r="A27" s="204">
        <f t="shared" si="0"/>
        <v>16</v>
      </c>
      <c r="B27" s="204" t="s">
        <v>600</v>
      </c>
      <c r="C27" s="847"/>
      <c r="D27" s="848"/>
      <c r="E27" s="848"/>
      <c r="F27" s="848"/>
      <c r="G27" s="848"/>
      <c r="H27" s="848"/>
      <c r="I27" s="848"/>
      <c r="J27" s="848"/>
      <c r="K27" s="848"/>
      <c r="L27" s="849"/>
    </row>
    <row r="28" spans="1:12" s="5" customFormat="1">
      <c r="A28" s="204">
        <f t="shared" si="0"/>
        <v>17</v>
      </c>
      <c r="B28" s="529" t="s">
        <v>684</v>
      </c>
      <c r="C28" s="847"/>
      <c r="D28" s="848"/>
      <c r="E28" s="848"/>
      <c r="F28" s="848"/>
      <c r="G28" s="848"/>
      <c r="H28" s="848"/>
      <c r="I28" s="848"/>
      <c r="J28" s="848"/>
      <c r="K28" s="848"/>
      <c r="L28" s="849"/>
    </row>
    <row r="29" spans="1:12">
      <c r="A29" s="204">
        <f t="shared" si="0"/>
        <v>18</v>
      </c>
      <c r="B29" s="204" t="s">
        <v>601</v>
      </c>
      <c r="C29" s="847"/>
      <c r="D29" s="848"/>
      <c r="E29" s="848"/>
      <c r="F29" s="848"/>
      <c r="G29" s="848"/>
      <c r="H29" s="848"/>
      <c r="I29" s="848"/>
      <c r="J29" s="848"/>
      <c r="K29" s="848"/>
      <c r="L29" s="849"/>
    </row>
    <row r="30" spans="1:12">
      <c r="A30" s="204">
        <f t="shared" si="0"/>
        <v>19</v>
      </c>
      <c r="B30" s="204" t="s">
        <v>602</v>
      </c>
      <c r="C30" s="847"/>
      <c r="D30" s="848"/>
      <c r="E30" s="848"/>
      <c r="F30" s="848"/>
      <c r="G30" s="848"/>
      <c r="H30" s="848"/>
      <c r="I30" s="848"/>
      <c r="J30" s="848"/>
      <c r="K30" s="848"/>
      <c r="L30" s="849"/>
    </row>
    <row r="31" spans="1:12" s="527" customFormat="1">
      <c r="A31" s="204">
        <f t="shared" si="0"/>
        <v>20</v>
      </c>
      <c r="B31" s="529" t="s">
        <v>683</v>
      </c>
      <c r="C31" s="847"/>
      <c r="D31" s="848"/>
      <c r="E31" s="848"/>
      <c r="F31" s="848"/>
      <c r="G31" s="848"/>
      <c r="H31" s="848"/>
      <c r="I31" s="848"/>
      <c r="J31" s="848"/>
      <c r="K31" s="848"/>
      <c r="L31" s="849"/>
    </row>
    <row r="32" spans="1:12">
      <c r="A32" s="204">
        <f t="shared" si="0"/>
        <v>21</v>
      </c>
      <c r="B32" s="529" t="s">
        <v>628</v>
      </c>
      <c r="C32" s="847"/>
      <c r="D32" s="848"/>
      <c r="E32" s="848"/>
      <c r="F32" s="848"/>
      <c r="G32" s="848"/>
      <c r="H32" s="848"/>
      <c r="I32" s="848"/>
      <c r="J32" s="848"/>
      <c r="K32" s="848"/>
      <c r="L32" s="849"/>
    </row>
    <row r="33" spans="1:12">
      <c r="A33" s="204">
        <f t="shared" si="0"/>
        <v>22</v>
      </c>
      <c r="B33" s="204" t="s">
        <v>603</v>
      </c>
      <c r="C33" s="847"/>
      <c r="D33" s="848"/>
      <c r="E33" s="848"/>
      <c r="F33" s="848"/>
      <c r="G33" s="848"/>
      <c r="H33" s="848"/>
      <c r="I33" s="848"/>
      <c r="J33" s="848"/>
      <c r="K33" s="848"/>
      <c r="L33" s="849"/>
    </row>
    <row r="34" spans="1:12">
      <c r="A34" s="204">
        <f t="shared" si="0"/>
        <v>23</v>
      </c>
      <c r="B34" s="204" t="s">
        <v>604</v>
      </c>
      <c r="C34" s="847"/>
      <c r="D34" s="848"/>
      <c r="E34" s="848"/>
      <c r="F34" s="848"/>
      <c r="G34" s="848"/>
      <c r="H34" s="848"/>
      <c r="I34" s="848"/>
      <c r="J34" s="848"/>
      <c r="K34" s="848"/>
      <c r="L34" s="849"/>
    </row>
    <row r="35" spans="1:12">
      <c r="A35" s="204">
        <f t="shared" si="0"/>
        <v>24</v>
      </c>
      <c r="B35" s="204" t="s">
        <v>605</v>
      </c>
      <c r="C35" s="847"/>
      <c r="D35" s="848"/>
      <c r="E35" s="848"/>
      <c r="F35" s="848"/>
      <c r="G35" s="848"/>
      <c r="H35" s="848"/>
      <c r="I35" s="848"/>
      <c r="J35" s="848"/>
      <c r="K35" s="848"/>
      <c r="L35" s="849"/>
    </row>
    <row r="36" spans="1:12">
      <c r="A36" s="204">
        <f t="shared" si="0"/>
        <v>25</v>
      </c>
      <c r="B36" s="204" t="s">
        <v>606</v>
      </c>
      <c r="C36" s="847"/>
      <c r="D36" s="848"/>
      <c r="E36" s="848"/>
      <c r="F36" s="848"/>
      <c r="G36" s="848"/>
      <c r="H36" s="848"/>
      <c r="I36" s="848"/>
      <c r="J36" s="848"/>
      <c r="K36" s="848"/>
      <c r="L36" s="849"/>
    </row>
    <row r="37" spans="1:12">
      <c r="A37" s="204">
        <f t="shared" si="0"/>
        <v>26</v>
      </c>
      <c r="B37" s="204" t="s">
        <v>607</v>
      </c>
      <c r="C37" s="847"/>
      <c r="D37" s="848"/>
      <c r="E37" s="848"/>
      <c r="F37" s="848"/>
      <c r="G37" s="848"/>
      <c r="H37" s="848"/>
      <c r="I37" s="848"/>
      <c r="J37" s="848"/>
      <c r="K37" s="848"/>
      <c r="L37" s="849"/>
    </row>
    <row r="38" spans="1:12">
      <c r="A38" s="204">
        <f t="shared" si="0"/>
        <v>27</v>
      </c>
      <c r="B38" s="204" t="s">
        <v>608</v>
      </c>
      <c r="C38" s="847"/>
      <c r="D38" s="848"/>
      <c r="E38" s="848"/>
      <c r="F38" s="848"/>
      <c r="G38" s="848"/>
      <c r="H38" s="848"/>
      <c r="I38" s="848"/>
      <c r="J38" s="848"/>
      <c r="K38" s="848"/>
      <c r="L38" s="849"/>
    </row>
    <row r="39" spans="1:12">
      <c r="A39" s="204">
        <f t="shared" si="0"/>
        <v>28</v>
      </c>
      <c r="B39" s="204" t="s">
        <v>609</v>
      </c>
      <c r="C39" s="847"/>
      <c r="D39" s="848"/>
      <c r="E39" s="848"/>
      <c r="F39" s="848"/>
      <c r="G39" s="848"/>
      <c r="H39" s="848"/>
      <c r="I39" s="848"/>
      <c r="J39" s="848"/>
      <c r="K39" s="848"/>
      <c r="L39" s="849"/>
    </row>
    <row r="40" spans="1:12">
      <c r="A40" s="204">
        <f t="shared" si="0"/>
        <v>29</v>
      </c>
      <c r="B40" s="204" t="s">
        <v>610</v>
      </c>
      <c r="C40" s="847"/>
      <c r="D40" s="848"/>
      <c r="E40" s="848"/>
      <c r="F40" s="848"/>
      <c r="G40" s="848"/>
      <c r="H40" s="848"/>
      <c r="I40" s="848"/>
      <c r="J40" s="848"/>
      <c r="K40" s="848"/>
      <c r="L40" s="849"/>
    </row>
    <row r="41" spans="1:12">
      <c r="A41" s="204">
        <f t="shared" si="0"/>
        <v>30</v>
      </c>
      <c r="B41" s="502" t="s">
        <v>611</v>
      </c>
      <c r="C41" s="847"/>
      <c r="D41" s="848"/>
      <c r="E41" s="848"/>
      <c r="F41" s="848"/>
      <c r="G41" s="848"/>
      <c r="H41" s="848"/>
      <c r="I41" s="848"/>
      <c r="J41" s="848"/>
      <c r="K41" s="848"/>
      <c r="L41" s="849"/>
    </row>
    <row r="42" spans="1:12">
      <c r="A42" s="204">
        <f t="shared" si="0"/>
        <v>31</v>
      </c>
      <c r="B42" s="502" t="s">
        <v>612</v>
      </c>
      <c r="C42" s="847"/>
      <c r="D42" s="848"/>
      <c r="E42" s="848"/>
      <c r="F42" s="848"/>
      <c r="G42" s="848"/>
      <c r="H42" s="848"/>
      <c r="I42" s="848"/>
      <c r="J42" s="848"/>
      <c r="K42" s="848"/>
      <c r="L42" s="849"/>
    </row>
    <row r="43" spans="1:12">
      <c r="A43" s="204">
        <f t="shared" si="0"/>
        <v>32</v>
      </c>
      <c r="B43" s="502" t="s">
        <v>613</v>
      </c>
      <c r="C43" s="847"/>
      <c r="D43" s="848"/>
      <c r="E43" s="848"/>
      <c r="F43" s="848"/>
      <c r="G43" s="848"/>
      <c r="H43" s="848"/>
      <c r="I43" s="848"/>
      <c r="J43" s="848"/>
      <c r="K43" s="848"/>
      <c r="L43" s="849"/>
    </row>
    <row r="44" spans="1:12">
      <c r="A44" s="204">
        <f t="shared" si="0"/>
        <v>33</v>
      </c>
      <c r="B44" s="502" t="s">
        <v>614</v>
      </c>
      <c r="C44" s="847"/>
      <c r="D44" s="848"/>
      <c r="E44" s="848"/>
      <c r="F44" s="848"/>
      <c r="G44" s="848"/>
      <c r="H44" s="848"/>
      <c r="I44" s="848"/>
      <c r="J44" s="848"/>
      <c r="K44" s="848"/>
      <c r="L44" s="849"/>
    </row>
    <row r="45" spans="1:12">
      <c r="A45" s="151"/>
      <c r="B45" s="151" t="s">
        <v>615</v>
      </c>
      <c r="C45" s="850"/>
      <c r="D45" s="851"/>
      <c r="E45" s="851"/>
      <c r="F45" s="851"/>
      <c r="G45" s="851"/>
      <c r="H45" s="851"/>
      <c r="I45" s="851"/>
      <c r="J45" s="851"/>
      <c r="K45" s="851"/>
      <c r="L45" s="852"/>
    </row>
    <row r="46" spans="1:12">
      <c r="A46" s="10" t="s">
        <v>356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9" t="s">
        <v>355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797"/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</row>
    <row r="50" spans="1:12" ht="15.75">
      <c r="I50" s="761" t="s">
        <v>908</v>
      </c>
      <c r="J50" s="761"/>
      <c r="K50" s="761"/>
      <c r="L50" s="761"/>
    </row>
    <row r="51" spans="1:12" ht="15.75">
      <c r="I51" s="761" t="s">
        <v>646</v>
      </c>
      <c r="J51" s="761"/>
      <c r="K51" s="761"/>
      <c r="L51" s="761"/>
    </row>
  </sheetData>
  <mergeCells count="15">
    <mergeCell ref="I50:L50"/>
    <mergeCell ref="I51:L51"/>
    <mergeCell ref="A49:L49"/>
    <mergeCell ref="I8:L8"/>
    <mergeCell ref="A9:A10"/>
    <mergeCell ref="B9:B10"/>
    <mergeCell ref="C9:G9"/>
    <mergeCell ref="H9:L9"/>
    <mergeCell ref="C12:L45"/>
    <mergeCell ref="L1:N1"/>
    <mergeCell ref="A2:L2"/>
    <mergeCell ref="A3:L3"/>
    <mergeCell ref="A5:L5"/>
    <mergeCell ref="A7:B7"/>
    <mergeCell ref="F7:L7"/>
  </mergeCells>
  <printOptions horizontalCentered="1"/>
  <pageMargins left="0.47" right="0.4" top="0.42" bottom="0" header="0.31496062992125984" footer="0.31496062992125984"/>
  <pageSetup paperSize="9" scale="77" orientation="landscape" r:id="rId1"/>
  <rowBreaks count="1" manualBreakCount="1">
    <brk id="4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view="pageBreakPreview" zoomScale="90" zoomScaleNormal="85" zoomScaleSheetLayoutView="90" workbookViewId="0"/>
  </sheetViews>
  <sheetFormatPr defaultColWidth="9.140625" defaultRowHeight="12.75"/>
  <cols>
    <col min="1" max="1" width="7.42578125" style="6" customWidth="1"/>
    <col min="2" max="2" width="17.140625" style="6" customWidth="1"/>
    <col min="3" max="3" width="8.7109375" style="6" customWidth="1"/>
    <col min="4" max="4" width="10.140625" style="6" customWidth="1"/>
    <col min="5" max="5" width="9.28515625" style="6" bestFit="1" customWidth="1"/>
    <col min="6" max="7" width="7.28515625" style="6" customWidth="1"/>
    <col min="8" max="8" width="8.140625" style="6" customWidth="1"/>
    <col min="9" max="9" width="9.28515625" style="6" customWidth="1"/>
    <col min="10" max="10" width="10.7109375" style="6" customWidth="1"/>
    <col min="11" max="11" width="9" style="6" customWidth="1"/>
    <col min="12" max="12" width="8.7109375" style="6" customWidth="1"/>
    <col min="13" max="13" width="7.85546875" style="6" customWidth="1"/>
    <col min="14" max="14" width="9.28515625" style="6" bestFit="1" customWidth="1"/>
    <col min="15" max="15" width="13.7109375" style="6" customWidth="1"/>
    <col min="16" max="16" width="11.85546875" style="6" customWidth="1"/>
    <col min="17" max="17" width="11.7109375" style="6" customWidth="1"/>
    <col min="18" max="18" width="10.7109375" style="6" bestFit="1" customWidth="1"/>
    <col min="19" max="19" width="9.7109375" style="6" bestFit="1" customWidth="1"/>
    <col min="20" max="20" width="9.140625" style="6"/>
    <col min="21" max="21" width="12.42578125" style="6" bestFit="1" customWidth="1"/>
    <col min="22" max="22" width="9.28515625" style="6" bestFit="1" customWidth="1"/>
    <col min="23" max="16384" width="9.140625" style="6"/>
  </cols>
  <sheetData>
    <row r="1" spans="1:22" customFormat="1" ht="15">
      <c r="H1" s="21"/>
      <c r="I1" s="21"/>
      <c r="J1" s="21"/>
      <c r="K1" s="21"/>
      <c r="L1" s="21"/>
      <c r="M1" s="21"/>
      <c r="N1" s="21"/>
      <c r="O1" s="21"/>
      <c r="P1" s="794" t="s">
        <v>60</v>
      </c>
      <c r="Q1" s="794"/>
      <c r="S1" s="6"/>
      <c r="T1" s="25"/>
      <c r="U1" s="25"/>
    </row>
    <row r="2" spans="1:22" customFormat="1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27"/>
      <c r="S2" s="27"/>
      <c r="T2" s="27"/>
      <c r="U2" s="27"/>
    </row>
    <row r="3" spans="1:22" customFormat="1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26"/>
      <c r="S3" s="26"/>
      <c r="T3" s="26"/>
      <c r="U3" s="26"/>
    </row>
    <row r="4" spans="1:22" customFormat="1" ht="10.5" customHeight="1"/>
    <row r="5" spans="1:22">
      <c r="A5" s="13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2"/>
      <c r="Q5" s="10"/>
    </row>
    <row r="6" spans="1:22" ht="18" customHeight="1">
      <c r="A6" s="805" t="s">
        <v>746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</row>
    <row r="7" spans="1:22" ht="9.75" customHeight="1"/>
    <row r="8" spans="1:22" ht="0.75" customHeight="1"/>
    <row r="9" spans="1:22">
      <c r="A9" s="699" t="s">
        <v>658</v>
      </c>
      <c r="B9" s="699"/>
      <c r="Q9" s="19" t="s">
        <v>19</v>
      </c>
      <c r="R9" s="8"/>
      <c r="S9" s="10"/>
    </row>
    <row r="10" spans="1:22" ht="15.75">
      <c r="A10" s="4"/>
      <c r="N10" s="853" t="s">
        <v>774</v>
      </c>
      <c r="O10" s="853"/>
      <c r="P10" s="853"/>
      <c r="Q10" s="853"/>
    </row>
    <row r="11" spans="1:22" ht="28.5" customHeight="1">
      <c r="A11" s="795" t="s">
        <v>2</v>
      </c>
      <c r="B11" s="795" t="s">
        <v>3</v>
      </c>
      <c r="C11" s="668" t="s">
        <v>747</v>
      </c>
      <c r="D11" s="668"/>
      <c r="E11" s="668"/>
      <c r="F11" s="668" t="s">
        <v>770</v>
      </c>
      <c r="G11" s="668"/>
      <c r="H11" s="668"/>
      <c r="I11" s="854" t="s">
        <v>360</v>
      </c>
      <c r="J11" s="855"/>
      <c r="K11" s="856"/>
      <c r="L11" s="854" t="s">
        <v>87</v>
      </c>
      <c r="M11" s="855"/>
      <c r="N11" s="856"/>
      <c r="O11" s="857" t="s">
        <v>781</v>
      </c>
      <c r="P11" s="858"/>
      <c r="Q11" s="859"/>
    </row>
    <row r="12" spans="1:22" ht="39.75" customHeight="1">
      <c r="A12" s="796"/>
      <c r="B12" s="796"/>
      <c r="C12" s="1" t="s">
        <v>107</v>
      </c>
      <c r="D12" s="137" t="s">
        <v>573</v>
      </c>
      <c r="E12" s="24" t="s">
        <v>16</v>
      </c>
      <c r="F12" s="1" t="s">
        <v>107</v>
      </c>
      <c r="G12" s="137" t="s">
        <v>574</v>
      </c>
      <c r="H12" s="24" t="s">
        <v>16</v>
      </c>
      <c r="I12" s="1" t="s">
        <v>107</v>
      </c>
      <c r="J12" s="137" t="s">
        <v>574</v>
      </c>
      <c r="K12" s="24" t="s">
        <v>16</v>
      </c>
      <c r="L12" s="1" t="s">
        <v>107</v>
      </c>
      <c r="M12" s="137" t="s">
        <v>574</v>
      </c>
      <c r="N12" s="24" t="s">
        <v>16</v>
      </c>
      <c r="O12" s="1" t="s">
        <v>228</v>
      </c>
      <c r="P12" s="137" t="s">
        <v>575</v>
      </c>
      <c r="Q12" s="1" t="s">
        <v>108</v>
      </c>
    </row>
    <row r="13" spans="1:22" s="33" customForma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U13" s="5"/>
    </row>
    <row r="14" spans="1:22" s="33" customFormat="1">
      <c r="A14" s="204">
        <v>1</v>
      </c>
      <c r="B14" s="204" t="s">
        <v>624</v>
      </c>
      <c r="C14" s="305">
        <v>221.61</v>
      </c>
      <c r="D14" s="305">
        <v>312.23</v>
      </c>
      <c r="E14" s="305">
        <f>SUM(C14:D14)</f>
        <v>533.84</v>
      </c>
      <c r="F14" s="305">
        <v>8.27</v>
      </c>
      <c r="G14" s="305">
        <v>5.52</v>
      </c>
      <c r="H14" s="305">
        <f>SUM(F14:G14)</f>
        <v>13.79</v>
      </c>
      <c r="I14" s="305">
        <v>221.23</v>
      </c>
      <c r="J14" s="305">
        <v>239.77</v>
      </c>
      <c r="K14" s="305">
        <f>SUM(I14:J14)</f>
        <v>461</v>
      </c>
      <c r="L14" s="305">
        <v>149.46</v>
      </c>
      <c r="M14" s="305">
        <v>210.58</v>
      </c>
      <c r="N14" s="305">
        <f>SUM(L14:M14)</f>
        <v>360.04</v>
      </c>
      <c r="O14" s="305">
        <f>F14+I14-L14</f>
        <v>80.039999999999992</v>
      </c>
      <c r="P14" s="305">
        <f>G14+J14-M14</f>
        <v>34.710000000000008</v>
      </c>
      <c r="Q14" s="305">
        <f>H14+K14-N14</f>
        <v>114.75</v>
      </c>
      <c r="R14" s="383"/>
      <c r="S14" s="383"/>
      <c r="T14" s="363"/>
      <c r="U14" s="346"/>
      <c r="V14" s="346">
        <f t="shared" ref="V14" si="0">ROUND(T14,2)</f>
        <v>0</v>
      </c>
    </row>
    <row r="15" spans="1:22" s="33" customFormat="1">
      <c r="A15" s="204">
        <f>A14+1</f>
        <v>2</v>
      </c>
      <c r="B15" s="204" t="s">
        <v>589</v>
      </c>
      <c r="C15" s="305">
        <v>237.14</v>
      </c>
      <c r="D15" s="305">
        <v>334.11</v>
      </c>
      <c r="E15" s="305">
        <f t="shared" ref="E15:E46" si="1">SUM(C15:D15)</f>
        <v>571.25</v>
      </c>
      <c r="F15" s="305">
        <v>8.6199999999999992</v>
      </c>
      <c r="G15" s="305">
        <v>5.75</v>
      </c>
      <c r="H15" s="305">
        <f t="shared" ref="H15:H46" si="2">SUM(F15:G15)</f>
        <v>14.37</v>
      </c>
      <c r="I15" s="305">
        <v>230.52</v>
      </c>
      <c r="J15" s="305">
        <v>249.84</v>
      </c>
      <c r="K15" s="305">
        <f t="shared" ref="K15:K46" si="3">SUM(I15:J15)</f>
        <v>480.36</v>
      </c>
      <c r="L15" s="305">
        <v>155.74</v>
      </c>
      <c r="M15" s="305">
        <v>219.42</v>
      </c>
      <c r="N15" s="305">
        <f t="shared" ref="N15:N46" si="4">SUM(L15:M15)</f>
        <v>375.15999999999997</v>
      </c>
      <c r="O15" s="305">
        <f t="shared" ref="O15:O46" si="5">F15+I15-L15</f>
        <v>83.4</v>
      </c>
      <c r="P15" s="305">
        <f t="shared" ref="P15:P46" si="6">G15+J15-M15</f>
        <v>36.170000000000016</v>
      </c>
      <c r="Q15" s="305">
        <f t="shared" ref="Q15:Q46" si="7">H15+K15-N15</f>
        <v>119.57000000000005</v>
      </c>
      <c r="R15" s="383"/>
      <c r="S15" s="383"/>
      <c r="T15" s="363"/>
      <c r="U15" s="346"/>
      <c r="V15" s="346">
        <f t="shared" ref="V15:V47" si="8">ROUND(T15,2)</f>
        <v>0</v>
      </c>
    </row>
    <row r="16" spans="1:22" s="33" customFormat="1">
      <c r="A16" s="204">
        <f t="shared" ref="A16:A46" si="9">A15+1</f>
        <v>3</v>
      </c>
      <c r="B16" s="204" t="s">
        <v>625</v>
      </c>
      <c r="C16" s="305">
        <v>472.78</v>
      </c>
      <c r="D16" s="305">
        <v>666.12</v>
      </c>
      <c r="E16" s="305">
        <f t="shared" si="1"/>
        <v>1138.9000000000001</v>
      </c>
      <c r="F16" s="305">
        <v>17.739999999999998</v>
      </c>
      <c r="G16" s="305">
        <v>11.85</v>
      </c>
      <c r="H16" s="305">
        <f t="shared" si="2"/>
        <v>29.589999999999996</v>
      </c>
      <c r="I16" s="305">
        <v>474.58</v>
      </c>
      <c r="J16" s="305">
        <v>514.35</v>
      </c>
      <c r="K16" s="305">
        <f>SUM(I16:J16)</f>
        <v>988.93000000000006</v>
      </c>
      <c r="L16" s="305">
        <v>320.62</v>
      </c>
      <c r="M16" s="305">
        <v>451.73</v>
      </c>
      <c r="N16" s="305">
        <f t="shared" si="4"/>
        <v>772.35</v>
      </c>
      <c r="O16" s="305">
        <f t="shared" si="5"/>
        <v>171.7</v>
      </c>
      <c r="P16" s="305">
        <f t="shared" si="6"/>
        <v>74.470000000000027</v>
      </c>
      <c r="Q16" s="305">
        <f t="shared" si="7"/>
        <v>246.17000000000007</v>
      </c>
      <c r="R16" s="383"/>
      <c r="S16" s="383"/>
      <c r="T16" s="363"/>
      <c r="U16" s="346"/>
      <c r="V16" s="346">
        <f t="shared" si="8"/>
        <v>0</v>
      </c>
    </row>
    <row r="17" spans="1:22" s="33" customFormat="1">
      <c r="A17" s="204">
        <f t="shared" si="9"/>
        <v>4</v>
      </c>
      <c r="B17" s="204" t="s">
        <v>590</v>
      </c>
      <c r="C17" s="305">
        <v>158.56</v>
      </c>
      <c r="D17" s="305">
        <v>223.39</v>
      </c>
      <c r="E17" s="305">
        <f t="shared" si="1"/>
        <v>381.95</v>
      </c>
      <c r="F17" s="305">
        <v>5.57</v>
      </c>
      <c r="G17" s="305">
        <v>3.72</v>
      </c>
      <c r="H17" s="305">
        <f t="shared" si="2"/>
        <v>9.2900000000000009</v>
      </c>
      <c r="I17" s="305">
        <v>149.01</v>
      </c>
      <c r="J17" s="305">
        <v>161.5</v>
      </c>
      <c r="K17" s="305">
        <f t="shared" si="3"/>
        <v>310.51</v>
      </c>
      <c r="L17" s="305">
        <v>100.67</v>
      </c>
      <c r="M17" s="305">
        <v>141.84</v>
      </c>
      <c r="N17" s="305">
        <f t="shared" si="4"/>
        <v>242.51</v>
      </c>
      <c r="O17" s="305">
        <f t="shared" si="5"/>
        <v>53.909999999999982</v>
      </c>
      <c r="P17" s="305">
        <f t="shared" si="6"/>
        <v>23.379999999999995</v>
      </c>
      <c r="Q17" s="305">
        <f t="shared" si="7"/>
        <v>77.29000000000002</v>
      </c>
      <c r="R17" s="383"/>
      <c r="S17" s="383"/>
      <c r="T17" s="363"/>
      <c r="U17" s="346"/>
      <c r="V17" s="346">
        <f t="shared" si="8"/>
        <v>0</v>
      </c>
    </row>
    <row r="18" spans="1:22" s="33" customFormat="1">
      <c r="A18" s="204">
        <f t="shared" si="9"/>
        <v>5</v>
      </c>
      <c r="B18" s="204" t="s">
        <v>591</v>
      </c>
      <c r="C18" s="305">
        <v>97.09</v>
      </c>
      <c r="D18" s="305">
        <v>136.80000000000001</v>
      </c>
      <c r="E18" s="305">
        <f t="shared" si="1"/>
        <v>233.89000000000001</v>
      </c>
      <c r="F18" s="305">
        <v>3.35</v>
      </c>
      <c r="G18" s="305">
        <v>2.2400000000000002</v>
      </c>
      <c r="H18" s="305">
        <f t="shared" si="2"/>
        <v>5.59</v>
      </c>
      <c r="I18" s="305">
        <v>89.62</v>
      </c>
      <c r="J18" s="305">
        <v>97.13</v>
      </c>
      <c r="K18" s="305">
        <f t="shared" si="3"/>
        <v>186.75</v>
      </c>
      <c r="L18" s="305">
        <v>60.54</v>
      </c>
      <c r="M18" s="305">
        <v>85.3</v>
      </c>
      <c r="N18" s="305">
        <f t="shared" si="4"/>
        <v>145.84</v>
      </c>
      <c r="O18" s="305">
        <f t="shared" si="5"/>
        <v>32.43</v>
      </c>
      <c r="P18" s="305">
        <f t="shared" si="6"/>
        <v>14.069999999999993</v>
      </c>
      <c r="Q18" s="305">
        <f t="shared" si="7"/>
        <v>46.5</v>
      </c>
      <c r="R18" s="383"/>
      <c r="S18" s="383"/>
      <c r="T18" s="363"/>
      <c r="U18" s="346"/>
      <c r="V18" s="346">
        <f t="shared" si="8"/>
        <v>0</v>
      </c>
    </row>
    <row r="19" spans="1:22" s="33" customFormat="1">
      <c r="A19" s="204">
        <f t="shared" si="9"/>
        <v>6</v>
      </c>
      <c r="B19" s="204" t="s">
        <v>592</v>
      </c>
      <c r="C19" s="305">
        <v>70.569999999999993</v>
      </c>
      <c r="D19" s="305">
        <v>99.43</v>
      </c>
      <c r="E19" s="305">
        <f t="shared" si="1"/>
        <v>170</v>
      </c>
      <c r="F19" s="305">
        <v>2.4300000000000002</v>
      </c>
      <c r="G19" s="305">
        <v>1.63</v>
      </c>
      <c r="H19" s="305">
        <f t="shared" si="2"/>
        <v>4.0600000000000005</v>
      </c>
      <c r="I19" s="305">
        <v>65.14</v>
      </c>
      <c r="J19" s="305">
        <v>70.599999999999994</v>
      </c>
      <c r="K19" s="305">
        <f t="shared" si="3"/>
        <v>135.74</v>
      </c>
      <c r="L19" s="305">
        <v>44.01</v>
      </c>
      <c r="M19" s="305">
        <v>62</v>
      </c>
      <c r="N19" s="305">
        <f t="shared" si="4"/>
        <v>106.00999999999999</v>
      </c>
      <c r="O19" s="305">
        <f t="shared" si="5"/>
        <v>23.560000000000009</v>
      </c>
      <c r="P19" s="305">
        <f t="shared" si="6"/>
        <v>10.22999999999999</v>
      </c>
      <c r="Q19" s="305">
        <f t="shared" si="7"/>
        <v>33.79000000000002</v>
      </c>
      <c r="R19" s="383"/>
      <c r="S19" s="383"/>
      <c r="T19" s="363"/>
      <c r="U19" s="346"/>
      <c r="V19" s="346">
        <f t="shared" si="8"/>
        <v>0</v>
      </c>
    </row>
    <row r="20" spans="1:22" s="33" customFormat="1">
      <c r="A20" s="204">
        <f t="shared" si="9"/>
        <v>7</v>
      </c>
      <c r="B20" s="204" t="s">
        <v>593</v>
      </c>
      <c r="C20" s="305">
        <v>202.43</v>
      </c>
      <c r="D20" s="305">
        <v>285.20999999999998</v>
      </c>
      <c r="E20" s="305">
        <f t="shared" si="1"/>
        <v>487.64</v>
      </c>
      <c r="F20" s="305">
        <v>7.29</v>
      </c>
      <c r="G20" s="305">
        <v>4.87</v>
      </c>
      <c r="H20" s="305">
        <f t="shared" si="2"/>
        <v>12.16</v>
      </c>
      <c r="I20" s="305">
        <v>195.06</v>
      </c>
      <c r="J20" s="305">
        <v>211.41</v>
      </c>
      <c r="K20" s="305">
        <f t="shared" si="3"/>
        <v>406.47</v>
      </c>
      <c r="L20" s="305">
        <v>131.78</v>
      </c>
      <c r="M20" s="305">
        <v>185.67</v>
      </c>
      <c r="N20" s="305">
        <f t="shared" si="4"/>
        <v>317.45</v>
      </c>
      <c r="O20" s="305">
        <f t="shared" si="5"/>
        <v>70.569999999999993</v>
      </c>
      <c r="P20" s="305">
        <f t="shared" si="6"/>
        <v>30.610000000000014</v>
      </c>
      <c r="Q20" s="305">
        <f t="shared" si="7"/>
        <v>101.18000000000006</v>
      </c>
      <c r="R20" s="383"/>
      <c r="S20" s="383"/>
      <c r="T20" s="363"/>
      <c r="U20" s="346"/>
      <c r="V20" s="346">
        <f t="shared" si="8"/>
        <v>0</v>
      </c>
    </row>
    <row r="21" spans="1:22" s="33" customFormat="1">
      <c r="A21" s="204">
        <f t="shared" si="9"/>
        <v>8</v>
      </c>
      <c r="B21" s="204" t="s">
        <v>594</v>
      </c>
      <c r="C21" s="305">
        <v>249.7</v>
      </c>
      <c r="D21" s="305">
        <v>351.8</v>
      </c>
      <c r="E21" s="305">
        <f t="shared" si="1"/>
        <v>601.5</v>
      </c>
      <c r="F21" s="305">
        <v>9.25</v>
      </c>
      <c r="G21" s="305">
        <v>6.17</v>
      </c>
      <c r="H21" s="305">
        <f t="shared" si="2"/>
        <v>15.42</v>
      </c>
      <c r="I21" s="305">
        <v>247.34</v>
      </c>
      <c r="J21" s="305">
        <v>268.08</v>
      </c>
      <c r="K21" s="305">
        <f t="shared" si="3"/>
        <v>515.41999999999996</v>
      </c>
      <c r="L21" s="305">
        <v>167.11</v>
      </c>
      <c r="M21" s="305">
        <v>235.44</v>
      </c>
      <c r="N21" s="305">
        <f t="shared" si="4"/>
        <v>402.55</v>
      </c>
      <c r="O21" s="305">
        <f t="shared" si="5"/>
        <v>89.480000000000018</v>
      </c>
      <c r="P21" s="305">
        <f t="shared" si="6"/>
        <v>38.81</v>
      </c>
      <c r="Q21" s="305">
        <f t="shared" si="7"/>
        <v>128.28999999999991</v>
      </c>
      <c r="R21" s="383"/>
      <c r="S21" s="383"/>
      <c r="T21" s="363"/>
      <c r="U21" s="346"/>
      <c r="V21" s="346">
        <f t="shared" si="8"/>
        <v>0</v>
      </c>
    </row>
    <row r="22" spans="1:22" s="33" customFormat="1">
      <c r="A22" s="204">
        <f t="shared" si="9"/>
        <v>9</v>
      </c>
      <c r="B22" s="204" t="s">
        <v>595</v>
      </c>
      <c r="C22" s="305">
        <v>109.7</v>
      </c>
      <c r="D22" s="305">
        <v>154.56</v>
      </c>
      <c r="E22" s="305">
        <f t="shared" si="1"/>
        <v>264.26</v>
      </c>
      <c r="F22" s="305">
        <v>3.95</v>
      </c>
      <c r="G22" s="305">
        <v>2.64</v>
      </c>
      <c r="H22" s="305">
        <f t="shared" si="2"/>
        <v>6.59</v>
      </c>
      <c r="I22" s="305">
        <v>105.66</v>
      </c>
      <c r="J22" s="305">
        <v>114.52</v>
      </c>
      <c r="K22" s="305">
        <f t="shared" si="3"/>
        <v>220.18</v>
      </c>
      <c r="L22" s="305">
        <v>71.39</v>
      </c>
      <c r="M22" s="305">
        <v>100.58</v>
      </c>
      <c r="N22" s="305">
        <f t="shared" si="4"/>
        <v>171.97</v>
      </c>
      <c r="O22" s="305">
        <f t="shared" si="5"/>
        <v>38.22</v>
      </c>
      <c r="P22" s="305">
        <f t="shared" si="6"/>
        <v>16.579999999999998</v>
      </c>
      <c r="Q22" s="305">
        <f t="shared" si="7"/>
        <v>54.800000000000011</v>
      </c>
      <c r="R22" s="383"/>
      <c r="S22" s="383"/>
      <c r="T22" s="363"/>
      <c r="U22" s="346"/>
      <c r="V22" s="346">
        <f t="shared" si="8"/>
        <v>0</v>
      </c>
    </row>
    <row r="23" spans="1:22" s="33" customFormat="1">
      <c r="A23" s="204">
        <f t="shared" si="9"/>
        <v>10</v>
      </c>
      <c r="B23" s="204" t="s">
        <v>596</v>
      </c>
      <c r="C23" s="305">
        <v>255.26</v>
      </c>
      <c r="D23" s="305">
        <v>359.64</v>
      </c>
      <c r="E23" s="305">
        <f t="shared" si="1"/>
        <v>614.9</v>
      </c>
      <c r="F23" s="305">
        <v>9.06</v>
      </c>
      <c r="G23" s="305">
        <v>6.05</v>
      </c>
      <c r="H23" s="305">
        <f t="shared" si="2"/>
        <v>15.11</v>
      </c>
      <c r="I23" s="305">
        <v>242.48</v>
      </c>
      <c r="J23" s="305">
        <v>262.8</v>
      </c>
      <c r="K23" s="305">
        <f t="shared" si="3"/>
        <v>505.28</v>
      </c>
      <c r="L23" s="305">
        <v>163.82</v>
      </c>
      <c r="M23" s="305">
        <v>230.8</v>
      </c>
      <c r="N23" s="305">
        <f t="shared" si="4"/>
        <v>394.62</v>
      </c>
      <c r="O23" s="305">
        <f t="shared" si="5"/>
        <v>87.72</v>
      </c>
      <c r="P23" s="305">
        <f t="shared" si="6"/>
        <v>38.050000000000011</v>
      </c>
      <c r="Q23" s="305">
        <f t="shared" si="7"/>
        <v>125.76999999999998</v>
      </c>
      <c r="R23" s="383"/>
      <c r="S23" s="383"/>
      <c r="T23" s="363"/>
      <c r="U23" s="346"/>
      <c r="V23" s="346">
        <f t="shared" si="8"/>
        <v>0</v>
      </c>
    </row>
    <row r="24" spans="1:22" s="33" customFormat="1">
      <c r="A24" s="204">
        <f t="shared" si="9"/>
        <v>11</v>
      </c>
      <c r="B24" s="204" t="s">
        <v>626</v>
      </c>
      <c r="C24" s="305">
        <v>171.53</v>
      </c>
      <c r="D24" s="305">
        <v>241.67</v>
      </c>
      <c r="E24" s="305">
        <f t="shared" si="1"/>
        <v>413.2</v>
      </c>
      <c r="F24" s="305">
        <v>5.91</v>
      </c>
      <c r="G24" s="305">
        <v>3.94</v>
      </c>
      <c r="H24" s="305">
        <f t="shared" si="2"/>
        <v>9.85</v>
      </c>
      <c r="I24" s="305">
        <v>158</v>
      </c>
      <c r="J24" s="305">
        <v>171.24</v>
      </c>
      <c r="K24" s="305">
        <f t="shared" si="3"/>
        <v>329.24</v>
      </c>
      <c r="L24" s="305">
        <v>106.74</v>
      </c>
      <c r="M24" s="305">
        <v>150.38999999999999</v>
      </c>
      <c r="N24" s="305">
        <f t="shared" si="4"/>
        <v>257.13</v>
      </c>
      <c r="O24" s="305">
        <f t="shared" si="5"/>
        <v>57.17</v>
      </c>
      <c r="P24" s="305">
        <f t="shared" si="6"/>
        <v>24.79000000000002</v>
      </c>
      <c r="Q24" s="305">
        <f t="shared" si="7"/>
        <v>81.960000000000036</v>
      </c>
      <c r="R24" s="383"/>
      <c r="S24" s="383"/>
      <c r="T24" s="363"/>
      <c r="U24" s="346"/>
      <c r="V24" s="346">
        <f t="shared" si="8"/>
        <v>0</v>
      </c>
    </row>
    <row r="25" spans="1:22" s="33" customFormat="1">
      <c r="A25" s="204">
        <f t="shared" si="9"/>
        <v>12</v>
      </c>
      <c r="B25" s="204" t="s">
        <v>597</v>
      </c>
      <c r="C25" s="305">
        <v>160.86000000000001</v>
      </c>
      <c r="D25" s="305">
        <v>226.64</v>
      </c>
      <c r="E25" s="305">
        <f t="shared" si="1"/>
        <v>387.5</v>
      </c>
      <c r="F25" s="305">
        <v>5.55</v>
      </c>
      <c r="G25" s="305">
        <v>3.71</v>
      </c>
      <c r="H25" s="305">
        <f t="shared" si="2"/>
        <v>9.26</v>
      </c>
      <c r="I25" s="305">
        <v>148.54</v>
      </c>
      <c r="J25" s="305">
        <v>160.99</v>
      </c>
      <c r="K25" s="305">
        <f t="shared" si="3"/>
        <v>309.52999999999997</v>
      </c>
      <c r="L25" s="305">
        <v>100.36</v>
      </c>
      <c r="M25" s="305">
        <v>141.38999999999999</v>
      </c>
      <c r="N25" s="305">
        <f t="shared" si="4"/>
        <v>241.75</v>
      </c>
      <c r="O25" s="305">
        <f t="shared" si="5"/>
        <v>53.730000000000004</v>
      </c>
      <c r="P25" s="305">
        <f t="shared" si="6"/>
        <v>23.310000000000031</v>
      </c>
      <c r="Q25" s="305">
        <f t="shared" si="7"/>
        <v>77.039999999999964</v>
      </c>
      <c r="R25" s="383"/>
      <c r="S25" s="383"/>
      <c r="T25" s="363"/>
      <c r="U25" s="346"/>
      <c r="V25" s="346">
        <f t="shared" si="8"/>
        <v>0</v>
      </c>
    </row>
    <row r="26" spans="1:22" s="33" customFormat="1">
      <c r="A26" s="204">
        <f t="shared" si="9"/>
        <v>13</v>
      </c>
      <c r="B26" s="204" t="s">
        <v>598</v>
      </c>
      <c r="C26" s="305">
        <v>223.19</v>
      </c>
      <c r="D26" s="305">
        <v>314.45</v>
      </c>
      <c r="E26" s="305">
        <f t="shared" si="1"/>
        <v>537.64</v>
      </c>
      <c r="F26" s="305">
        <v>8.3699999999999992</v>
      </c>
      <c r="G26" s="305">
        <v>5.59</v>
      </c>
      <c r="H26" s="305">
        <f t="shared" si="2"/>
        <v>13.959999999999999</v>
      </c>
      <c r="I26" s="305">
        <v>223.89</v>
      </c>
      <c r="J26" s="305">
        <v>242.65</v>
      </c>
      <c r="K26" s="305">
        <f t="shared" si="3"/>
        <v>466.53999999999996</v>
      </c>
      <c r="L26" s="305">
        <v>151.26</v>
      </c>
      <c r="M26" s="305">
        <v>213.11</v>
      </c>
      <c r="N26" s="305">
        <f t="shared" si="4"/>
        <v>364.37</v>
      </c>
      <c r="O26" s="305">
        <f t="shared" si="5"/>
        <v>81</v>
      </c>
      <c r="P26" s="305">
        <f t="shared" si="6"/>
        <v>35.129999999999995</v>
      </c>
      <c r="Q26" s="305">
        <f t="shared" si="7"/>
        <v>116.12999999999994</v>
      </c>
      <c r="R26" s="383"/>
      <c r="S26" s="383"/>
      <c r="T26" s="363"/>
      <c r="U26" s="346"/>
      <c r="V26" s="346">
        <f t="shared" si="8"/>
        <v>0</v>
      </c>
    </row>
    <row r="27" spans="1:22" s="33" customFormat="1">
      <c r="A27" s="204">
        <f t="shared" si="9"/>
        <v>14</v>
      </c>
      <c r="B27" s="204" t="s">
        <v>627</v>
      </c>
      <c r="C27" s="305">
        <v>126.7</v>
      </c>
      <c r="D27" s="305">
        <v>178.51</v>
      </c>
      <c r="E27" s="305">
        <f t="shared" si="1"/>
        <v>305.20999999999998</v>
      </c>
      <c r="F27" s="305">
        <v>4.53</v>
      </c>
      <c r="G27" s="305">
        <v>3.02</v>
      </c>
      <c r="H27" s="305">
        <f t="shared" si="2"/>
        <v>7.5500000000000007</v>
      </c>
      <c r="I27" s="305">
        <v>121.1</v>
      </c>
      <c r="J27" s="305">
        <v>131.25</v>
      </c>
      <c r="K27" s="305">
        <f t="shared" si="3"/>
        <v>252.35</v>
      </c>
      <c r="L27" s="305">
        <v>81.819999999999993</v>
      </c>
      <c r="M27" s="305">
        <v>115.27</v>
      </c>
      <c r="N27" s="305">
        <f t="shared" si="4"/>
        <v>197.08999999999997</v>
      </c>
      <c r="O27" s="305">
        <f t="shared" si="5"/>
        <v>43.81</v>
      </c>
      <c r="P27" s="305">
        <f t="shared" si="6"/>
        <v>19.000000000000014</v>
      </c>
      <c r="Q27" s="305">
        <f t="shared" si="7"/>
        <v>62.81</v>
      </c>
      <c r="R27" s="383"/>
      <c r="S27" s="383"/>
      <c r="T27" s="363"/>
      <c r="U27" s="346"/>
      <c r="V27" s="346">
        <f t="shared" si="8"/>
        <v>0</v>
      </c>
    </row>
    <row r="28" spans="1:22" s="33" customFormat="1">
      <c r="A28" s="204">
        <f t="shared" si="9"/>
        <v>15</v>
      </c>
      <c r="B28" s="204" t="s">
        <v>599</v>
      </c>
      <c r="C28" s="305">
        <v>223.72</v>
      </c>
      <c r="D28" s="305">
        <v>315.2</v>
      </c>
      <c r="E28" s="305">
        <f t="shared" si="1"/>
        <v>538.91999999999996</v>
      </c>
      <c r="F28" s="305">
        <v>7.96</v>
      </c>
      <c r="G28" s="305">
        <v>5.31</v>
      </c>
      <c r="H28" s="305">
        <f t="shared" si="2"/>
        <v>13.27</v>
      </c>
      <c r="I28" s="305">
        <v>212.84</v>
      </c>
      <c r="J28" s="305">
        <v>230.68</v>
      </c>
      <c r="K28" s="305">
        <f t="shared" si="3"/>
        <v>443.52</v>
      </c>
      <c r="L28" s="305">
        <v>143.80000000000001</v>
      </c>
      <c r="M28" s="305">
        <v>202.6</v>
      </c>
      <c r="N28" s="305">
        <f t="shared" si="4"/>
        <v>346.4</v>
      </c>
      <c r="O28" s="305">
        <f t="shared" si="5"/>
        <v>77</v>
      </c>
      <c r="P28" s="305">
        <f t="shared" si="6"/>
        <v>33.390000000000015</v>
      </c>
      <c r="Q28" s="305">
        <f t="shared" si="7"/>
        <v>110.38999999999999</v>
      </c>
      <c r="R28" s="383"/>
      <c r="S28" s="383"/>
      <c r="T28" s="363"/>
      <c r="U28" s="346"/>
      <c r="V28" s="346">
        <f t="shared" si="8"/>
        <v>0</v>
      </c>
    </row>
    <row r="29" spans="1:22" s="33" customFormat="1">
      <c r="A29" s="204">
        <f t="shared" si="9"/>
        <v>16</v>
      </c>
      <c r="B29" s="204" t="s">
        <v>600</v>
      </c>
      <c r="C29" s="305">
        <v>230.12</v>
      </c>
      <c r="D29" s="305">
        <v>324.22000000000003</v>
      </c>
      <c r="E29" s="305">
        <f t="shared" si="1"/>
        <v>554.34</v>
      </c>
      <c r="F29" s="305">
        <v>8.1999999999999993</v>
      </c>
      <c r="G29" s="305">
        <v>5.48</v>
      </c>
      <c r="H29" s="305">
        <f t="shared" si="2"/>
        <v>13.68</v>
      </c>
      <c r="I29" s="305">
        <v>219.37</v>
      </c>
      <c r="J29" s="305">
        <v>237.76</v>
      </c>
      <c r="K29" s="305">
        <f t="shared" si="3"/>
        <v>457.13</v>
      </c>
      <c r="L29" s="305">
        <v>148.19999999999999</v>
      </c>
      <c r="M29" s="305">
        <v>208.81</v>
      </c>
      <c r="N29" s="305">
        <f t="shared" si="4"/>
        <v>357.01</v>
      </c>
      <c r="O29" s="305">
        <f t="shared" si="5"/>
        <v>79.37</v>
      </c>
      <c r="P29" s="305">
        <f t="shared" si="6"/>
        <v>34.429999999999978</v>
      </c>
      <c r="Q29" s="305">
        <f t="shared" si="7"/>
        <v>113.80000000000001</v>
      </c>
      <c r="R29" s="383"/>
      <c r="S29" s="383"/>
      <c r="T29" s="363"/>
      <c r="U29" s="346"/>
      <c r="V29" s="346">
        <f t="shared" si="8"/>
        <v>0</v>
      </c>
    </row>
    <row r="30" spans="1:22" s="33" customFormat="1">
      <c r="A30" s="204">
        <f t="shared" si="9"/>
        <v>17</v>
      </c>
      <c r="B30" s="529" t="s">
        <v>684</v>
      </c>
      <c r="C30" s="305">
        <v>62.79</v>
      </c>
      <c r="D30" s="305">
        <v>88.46</v>
      </c>
      <c r="E30" s="305">
        <f t="shared" si="1"/>
        <v>151.25</v>
      </c>
      <c r="F30" s="305">
        <v>2.36</v>
      </c>
      <c r="G30" s="305">
        <v>1.58</v>
      </c>
      <c r="H30" s="305">
        <f t="shared" si="2"/>
        <v>3.94</v>
      </c>
      <c r="I30" s="305">
        <v>63.25</v>
      </c>
      <c r="J30" s="305">
        <v>68.55</v>
      </c>
      <c r="K30" s="305">
        <f t="shared" si="3"/>
        <v>131.80000000000001</v>
      </c>
      <c r="L30" s="305">
        <v>42.73</v>
      </c>
      <c r="M30" s="305">
        <v>60.21</v>
      </c>
      <c r="N30" s="305">
        <f t="shared" si="4"/>
        <v>102.94</v>
      </c>
      <c r="O30" s="305">
        <f t="shared" si="5"/>
        <v>22.880000000000003</v>
      </c>
      <c r="P30" s="305">
        <f t="shared" si="6"/>
        <v>9.9199999999999946</v>
      </c>
      <c r="Q30" s="305">
        <f t="shared" si="7"/>
        <v>32.800000000000011</v>
      </c>
      <c r="R30" s="383"/>
      <c r="S30" s="383"/>
      <c r="T30" s="363"/>
      <c r="U30" s="346"/>
      <c r="V30" s="346">
        <f t="shared" si="8"/>
        <v>0</v>
      </c>
    </row>
    <row r="31" spans="1:22">
      <c r="A31" s="204">
        <f t="shared" si="9"/>
        <v>18</v>
      </c>
      <c r="B31" s="204" t="s">
        <v>601</v>
      </c>
      <c r="C31" s="305">
        <v>198.83</v>
      </c>
      <c r="D31" s="305">
        <v>280.14</v>
      </c>
      <c r="E31" s="305">
        <f t="shared" si="1"/>
        <v>478.97</v>
      </c>
      <c r="F31" s="305">
        <v>6.9</v>
      </c>
      <c r="G31" s="305">
        <v>4.6100000000000003</v>
      </c>
      <c r="H31" s="305">
        <f t="shared" si="2"/>
        <v>11.510000000000002</v>
      </c>
      <c r="I31" s="305">
        <v>184.55</v>
      </c>
      <c r="J31" s="305">
        <v>200.02</v>
      </c>
      <c r="K31" s="305">
        <f t="shared" si="3"/>
        <v>384.57000000000005</v>
      </c>
      <c r="L31" s="305">
        <v>124.68</v>
      </c>
      <c r="M31" s="305">
        <v>175.66</v>
      </c>
      <c r="N31" s="305">
        <f t="shared" si="4"/>
        <v>300.34000000000003</v>
      </c>
      <c r="O31" s="305">
        <f t="shared" si="5"/>
        <v>66.77000000000001</v>
      </c>
      <c r="P31" s="305">
        <f t="shared" si="6"/>
        <v>28.970000000000027</v>
      </c>
      <c r="Q31" s="305">
        <f t="shared" si="7"/>
        <v>95.740000000000009</v>
      </c>
      <c r="R31" s="383"/>
      <c r="S31" s="383"/>
      <c r="T31" s="363"/>
      <c r="U31" s="346"/>
      <c r="V31" s="346">
        <f t="shared" si="8"/>
        <v>0</v>
      </c>
    </row>
    <row r="32" spans="1:22">
      <c r="A32" s="204">
        <f t="shared" si="9"/>
        <v>19</v>
      </c>
      <c r="B32" s="204" t="s">
        <v>602</v>
      </c>
      <c r="C32" s="305">
        <v>298.52999999999997</v>
      </c>
      <c r="D32" s="305">
        <v>420.6</v>
      </c>
      <c r="E32" s="305">
        <f t="shared" si="1"/>
        <v>719.13</v>
      </c>
      <c r="F32" s="305">
        <v>10.9</v>
      </c>
      <c r="G32" s="305">
        <v>7.28</v>
      </c>
      <c r="H32" s="305">
        <f t="shared" si="2"/>
        <v>18.18</v>
      </c>
      <c r="I32" s="305">
        <v>291.61</v>
      </c>
      <c r="J32" s="305">
        <v>316.06</v>
      </c>
      <c r="K32" s="305">
        <f t="shared" si="3"/>
        <v>607.67000000000007</v>
      </c>
      <c r="L32" s="305">
        <v>197.01</v>
      </c>
      <c r="M32" s="305">
        <v>277.58</v>
      </c>
      <c r="N32" s="305">
        <f t="shared" si="4"/>
        <v>474.59</v>
      </c>
      <c r="O32" s="305">
        <f t="shared" si="5"/>
        <v>105.5</v>
      </c>
      <c r="P32" s="305">
        <f t="shared" si="6"/>
        <v>45.759999999999991</v>
      </c>
      <c r="Q32" s="305">
        <f t="shared" si="7"/>
        <v>151.26000000000005</v>
      </c>
      <c r="R32" s="383"/>
      <c r="S32" s="383"/>
      <c r="T32" s="363"/>
      <c r="U32" s="346"/>
      <c r="V32" s="346">
        <f t="shared" si="8"/>
        <v>0</v>
      </c>
    </row>
    <row r="33" spans="1:22" s="527" customFormat="1">
      <c r="A33" s="204">
        <f t="shared" si="9"/>
        <v>20</v>
      </c>
      <c r="B33" s="529" t="s">
        <v>683</v>
      </c>
      <c r="C33" s="305">
        <v>191.85</v>
      </c>
      <c r="D33" s="305">
        <v>270.3</v>
      </c>
      <c r="E33" s="305">
        <f t="shared" si="1"/>
        <v>462.15</v>
      </c>
      <c r="F33" s="305">
        <v>6.47</v>
      </c>
      <c r="G33" s="305">
        <v>4.32</v>
      </c>
      <c r="H33" s="305">
        <f t="shared" si="2"/>
        <v>10.79</v>
      </c>
      <c r="I33" s="305">
        <v>173.03</v>
      </c>
      <c r="J33" s="305">
        <v>187.53</v>
      </c>
      <c r="K33" s="305">
        <f t="shared" si="3"/>
        <v>360.56</v>
      </c>
      <c r="L33" s="305">
        <v>116.9</v>
      </c>
      <c r="M33" s="305">
        <v>164.7</v>
      </c>
      <c r="N33" s="305">
        <f t="shared" si="4"/>
        <v>281.60000000000002</v>
      </c>
      <c r="O33" s="305">
        <f t="shared" si="5"/>
        <v>62.599999999999994</v>
      </c>
      <c r="P33" s="305">
        <f t="shared" si="6"/>
        <v>27.150000000000006</v>
      </c>
      <c r="Q33" s="305">
        <f t="shared" si="7"/>
        <v>89.75</v>
      </c>
      <c r="R33" s="383"/>
      <c r="S33" s="383"/>
      <c r="T33" s="363"/>
      <c r="U33" s="346"/>
      <c r="V33" s="346">
        <f t="shared" si="8"/>
        <v>0</v>
      </c>
    </row>
    <row r="34" spans="1:22">
      <c r="A34" s="204">
        <f t="shared" si="9"/>
        <v>21</v>
      </c>
      <c r="B34" s="529" t="s">
        <v>628</v>
      </c>
      <c r="C34" s="305">
        <v>160.99</v>
      </c>
      <c r="D34" s="305">
        <v>226.82</v>
      </c>
      <c r="E34" s="305">
        <f t="shared" si="1"/>
        <v>387.81</v>
      </c>
      <c r="F34" s="305">
        <v>5.65</v>
      </c>
      <c r="G34" s="305">
        <v>3.78</v>
      </c>
      <c r="H34" s="305">
        <f t="shared" si="2"/>
        <v>9.43</v>
      </c>
      <c r="I34" s="305">
        <v>151.24</v>
      </c>
      <c r="J34" s="305">
        <v>163.92</v>
      </c>
      <c r="K34" s="305">
        <f t="shared" si="3"/>
        <v>315.15999999999997</v>
      </c>
      <c r="L34" s="305">
        <v>102.18</v>
      </c>
      <c r="M34" s="305">
        <v>143.96</v>
      </c>
      <c r="N34" s="305">
        <f t="shared" si="4"/>
        <v>246.14000000000001</v>
      </c>
      <c r="O34" s="305">
        <f t="shared" si="5"/>
        <v>54.710000000000008</v>
      </c>
      <c r="P34" s="305">
        <f t="shared" si="6"/>
        <v>23.739999999999981</v>
      </c>
      <c r="Q34" s="305">
        <f t="shared" si="7"/>
        <v>78.44999999999996</v>
      </c>
      <c r="R34" s="383"/>
      <c r="S34" s="383"/>
      <c r="T34" s="363"/>
      <c r="U34" s="346"/>
      <c r="V34" s="346">
        <f t="shared" si="8"/>
        <v>0</v>
      </c>
    </row>
    <row r="35" spans="1:22">
      <c r="A35" s="204">
        <f t="shared" si="9"/>
        <v>22</v>
      </c>
      <c r="B35" s="204" t="s">
        <v>603</v>
      </c>
      <c r="C35" s="305">
        <v>301.86</v>
      </c>
      <c r="D35" s="305">
        <v>425.29</v>
      </c>
      <c r="E35" s="305">
        <f t="shared" si="1"/>
        <v>727.15000000000009</v>
      </c>
      <c r="F35" s="305">
        <v>11.15</v>
      </c>
      <c r="G35" s="305">
        <v>7.45</v>
      </c>
      <c r="H35" s="305">
        <f t="shared" si="2"/>
        <v>18.600000000000001</v>
      </c>
      <c r="I35" s="305">
        <v>298.23</v>
      </c>
      <c r="J35" s="305">
        <v>323.22000000000003</v>
      </c>
      <c r="K35" s="305">
        <f t="shared" si="3"/>
        <v>621.45000000000005</v>
      </c>
      <c r="L35" s="305">
        <v>201.48</v>
      </c>
      <c r="M35" s="305">
        <v>283.87</v>
      </c>
      <c r="N35" s="305">
        <f t="shared" si="4"/>
        <v>485.35</v>
      </c>
      <c r="O35" s="305">
        <f t="shared" si="5"/>
        <v>107.9</v>
      </c>
      <c r="P35" s="305">
        <f t="shared" si="6"/>
        <v>46.800000000000011</v>
      </c>
      <c r="Q35" s="305">
        <f t="shared" si="7"/>
        <v>154.70000000000005</v>
      </c>
      <c r="R35" s="383"/>
      <c r="S35" s="383"/>
      <c r="T35" s="363"/>
      <c r="U35" s="346"/>
      <c r="V35" s="346">
        <f t="shared" si="8"/>
        <v>0</v>
      </c>
    </row>
    <row r="36" spans="1:22">
      <c r="A36" s="204">
        <f t="shared" si="9"/>
        <v>23</v>
      </c>
      <c r="B36" s="204" t="s">
        <v>604</v>
      </c>
      <c r="C36" s="305">
        <v>85.19</v>
      </c>
      <c r="D36" s="305">
        <v>120.03</v>
      </c>
      <c r="E36" s="305">
        <f t="shared" si="1"/>
        <v>205.22</v>
      </c>
      <c r="F36" s="305">
        <v>3.12</v>
      </c>
      <c r="G36" s="305">
        <v>2.09</v>
      </c>
      <c r="H36" s="305">
        <f t="shared" si="2"/>
        <v>5.21</v>
      </c>
      <c r="I36" s="305">
        <v>83.56</v>
      </c>
      <c r="J36" s="305">
        <v>90.57</v>
      </c>
      <c r="K36" s="305">
        <f t="shared" si="3"/>
        <v>174.13</v>
      </c>
      <c r="L36" s="305">
        <v>56.46</v>
      </c>
      <c r="M36" s="305">
        <v>79.540000000000006</v>
      </c>
      <c r="N36" s="305">
        <f t="shared" si="4"/>
        <v>136</v>
      </c>
      <c r="O36" s="305">
        <f t="shared" si="5"/>
        <v>30.220000000000006</v>
      </c>
      <c r="P36" s="305">
        <f t="shared" si="6"/>
        <v>13.11999999999999</v>
      </c>
      <c r="Q36" s="305">
        <f t="shared" si="7"/>
        <v>43.34</v>
      </c>
      <c r="R36" s="383"/>
      <c r="S36" s="383"/>
      <c r="T36" s="363"/>
      <c r="U36" s="346"/>
      <c r="V36" s="346">
        <f t="shared" si="8"/>
        <v>0</v>
      </c>
    </row>
    <row r="37" spans="1:22">
      <c r="A37" s="204">
        <f t="shared" si="9"/>
        <v>24</v>
      </c>
      <c r="B37" s="204" t="s">
        <v>605</v>
      </c>
      <c r="C37" s="305">
        <v>96.71</v>
      </c>
      <c r="D37" s="305">
        <v>136.26</v>
      </c>
      <c r="E37" s="305">
        <f t="shared" si="1"/>
        <v>232.96999999999997</v>
      </c>
      <c r="F37" s="305">
        <v>3.72</v>
      </c>
      <c r="G37" s="305">
        <v>2.4900000000000002</v>
      </c>
      <c r="H37" s="305">
        <f t="shared" si="2"/>
        <v>6.2100000000000009</v>
      </c>
      <c r="I37" s="305">
        <v>99.59</v>
      </c>
      <c r="J37" s="305">
        <v>107.93</v>
      </c>
      <c r="K37" s="305">
        <f t="shared" si="3"/>
        <v>207.52</v>
      </c>
      <c r="L37" s="305">
        <v>67.28</v>
      </c>
      <c r="M37" s="305">
        <v>94.79</v>
      </c>
      <c r="N37" s="305">
        <f t="shared" si="4"/>
        <v>162.07</v>
      </c>
      <c r="O37" s="305">
        <f t="shared" si="5"/>
        <v>36.03</v>
      </c>
      <c r="P37" s="305">
        <f t="shared" si="6"/>
        <v>15.629999999999995</v>
      </c>
      <c r="Q37" s="305">
        <f t="shared" si="7"/>
        <v>51.660000000000025</v>
      </c>
      <c r="R37" s="383"/>
      <c r="S37" s="383"/>
      <c r="T37" s="363"/>
      <c r="U37" s="346"/>
      <c r="V37" s="346">
        <f t="shared" si="8"/>
        <v>0</v>
      </c>
    </row>
    <row r="38" spans="1:22">
      <c r="A38" s="204">
        <f t="shared" si="9"/>
        <v>25</v>
      </c>
      <c r="B38" s="204" t="s">
        <v>606</v>
      </c>
      <c r="C38" s="305">
        <v>418.83</v>
      </c>
      <c r="D38" s="305">
        <v>590.09</v>
      </c>
      <c r="E38" s="305">
        <f t="shared" si="1"/>
        <v>1008.9200000000001</v>
      </c>
      <c r="F38" s="305">
        <v>14.86</v>
      </c>
      <c r="G38" s="305">
        <v>9.93</v>
      </c>
      <c r="H38" s="305">
        <f t="shared" si="2"/>
        <v>24.79</v>
      </c>
      <c r="I38" s="305">
        <v>397.58</v>
      </c>
      <c r="J38" s="305">
        <v>430.9</v>
      </c>
      <c r="K38" s="305">
        <f t="shared" si="3"/>
        <v>828.48</v>
      </c>
      <c r="L38" s="305">
        <v>268.60000000000002</v>
      </c>
      <c r="M38" s="305">
        <v>378.44</v>
      </c>
      <c r="N38" s="305">
        <f t="shared" si="4"/>
        <v>647.04</v>
      </c>
      <c r="O38" s="305">
        <f t="shared" si="5"/>
        <v>143.83999999999997</v>
      </c>
      <c r="P38" s="305">
        <f t="shared" si="6"/>
        <v>62.389999999999986</v>
      </c>
      <c r="Q38" s="305">
        <f t="shared" si="7"/>
        <v>206.23000000000002</v>
      </c>
      <c r="R38" s="383"/>
      <c r="S38" s="383"/>
      <c r="T38" s="363"/>
      <c r="U38" s="346"/>
      <c r="V38" s="346">
        <f t="shared" si="8"/>
        <v>0</v>
      </c>
    </row>
    <row r="39" spans="1:22">
      <c r="A39" s="204">
        <f t="shared" si="9"/>
        <v>26</v>
      </c>
      <c r="B39" s="204" t="s">
        <v>607</v>
      </c>
      <c r="C39" s="305">
        <v>334.67</v>
      </c>
      <c r="D39" s="305">
        <v>471.52</v>
      </c>
      <c r="E39" s="305">
        <f t="shared" si="1"/>
        <v>806.19</v>
      </c>
      <c r="F39" s="305">
        <v>11.99</v>
      </c>
      <c r="G39" s="305">
        <v>8.01</v>
      </c>
      <c r="H39" s="305">
        <f t="shared" si="2"/>
        <v>20</v>
      </c>
      <c r="I39" s="305">
        <v>320.77</v>
      </c>
      <c r="J39" s="305">
        <v>347.65</v>
      </c>
      <c r="K39" s="305">
        <f t="shared" si="3"/>
        <v>668.42</v>
      </c>
      <c r="L39" s="305">
        <v>216.71</v>
      </c>
      <c r="M39" s="305">
        <v>305.33</v>
      </c>
      <c r="N39" s="305">
        <f t="shared" si="4"/>
        <v>522.04</v>
      </c>
      <c r="O39" s="305">
        <f t="shared" si="5"/>
        <v>116.04999999999998</v>
      </c>
      <c r="P39" s="305">
        <f t="shared" si="6"/>
        <v>50.329999999999984</v>
      </c>
      <c r="Q39" s="305">
        <f t="shared" si="7"/>
        <v>166.38</v>
      </c>
      <c r="R39" s="383"/>
      <c r="S39" s="383"/>
      <c r="T39" s="363"/>
      <c r="U39" s="346"/>
      <c r="V39" s="346">
        <f t="shared" si="8"/>
        <v>0</v>
      </c>
    </row>
    <row r="40" spans="1:22">
      <c r="A40" s="204">
        <f t="shared" si="9"/>
        <v>27</v>
      </c>
      <c r="B40" s="204" t="s">
        <v>608</v>
      </c>
      <c r="C40" s="305">
        <v>213.51</v>
      </c>
      <c r="D40" s="305">
        <v>300.82</v>
      </c>
      <c r="E40" s="305">
        <f t="shared" si="1"/>
        <v>514.32999999999993</v>
      </c>
      <c r="F40" s="305">
        <v>7.9</v>
      </c>
      <c r="G40" s="305">
        <v>5.27</v>
      </c>
      <c r="H40" s="305">
        <f t="shared" si="2"/>
        <v>13.17</v>
      </c>
      <c r="I40" s="305">
        <v>211.27</v>
      </c>
      <c r="J40" s="305">
        <v>228.98</v>
      </c>
      <c r="K40" s="305">
        <f t="shared" si="3"/>
        <v>440.25</v>
      </c>
      <c r="L40" s="305">
        <v>142.72999999999999</v>
      </c>
      <c r="M40" s="305">
        <v>201.1</v>
      </c>
      <c r="N40" s="305">
        <f t="shared" si="4"/>
        <v>343.83</v>
      </c>
      <c r="O40" s="305">
        <f t="shared" si="5"/>
        <v>76.440000000000026</v>
      </c>
      <c r="P40" s="305">
        <f t="shared" si="6"/>
        <v>33.150000000000006</v>
      </c>
      <c r="Q40" s="305">
        <f t="shared" si="7"/>
        <v>109.59000000000003</v>
      </c>
      <c r="R40" s="383"/>
      <c r="S40" s="383"/>
      <c r="T40" s="363"/>
      <c r="U40" s="346"/>
      <c r="V40" s="346">
        <f t="shared" si="8"/>
        <v>0</v>
      </c>
    </row>
    <row r="41" spans="1:22">
      <c r="A41" s="204">
        <f t="shared" si="9"/>
        <v>28</v>
      </c>
      <c r="B41" s="204" t="s">
        <v>609</v>
      </c>
      <c r="C41" s="305">
        <v>182.19</v>
      </c>
      <c r="D41" s="305">
        <v>256.69</v>
      </c>
      <c r="E41" s="305">
        <f t="shared" si="1"/>
        <v>438.88</v>
      </c>
      <c r="F41" s="305">
        <v>6.14</v>
      </c>
      <c r="G41" s="305">
        <v>4.0999999999999996</v>
      </c>
      <c r="H41" s="305">
        <f t="shared" si="2"/>
        <v>10.239999999999998</v>
      </c>
      <c r="I41" s="305">
        <v>164.28</v>
      </c>
      <c r="J41" s="305">
        <v>178.05</v>
      </c>
      <c r="K41" s="305">
        <f t="shared" si="3"/>
        <v>342.33000000000004</v>
      </c>
      <c r="L41" s="305">
        <v>110.99</v>
      </c>
      <c r="M41" s="305">
        <v>156.37</v>
      </c>
      <c r="N41" s="305">
        <f t="shared" si="4"/>
        <v>267.36</v>
      </c>
      <c r="O41" s="305">
        <f t="shared" si="5"/>
        <v>59.429999999999993</v>
      </c>
      <c r="P41" s="305">
        <f t="shared" si="6"/>
        <v>25.78</v>
      </c>
      <c r="Q41" s="305">
        <f t="shared" si="7"/>
        <v>85.210000000000036</v>
      </c>
      <c r="R41" s="383"/>
      <c r="S41" s="383"/>
      <c r="T41" s="363"/>
      <c r="U41" s="346"/>
      <c r="V41" s="346">
        <f t="shared" si="8"/>
        <v>0</v>
      </c>
    </row>
    <row r="42" spans="1:22">
      <c r="A42" s="204">
        <f t="shared" si="9"/>
        <v>29</v>
      </c>
      <c r="B42" s="204" t="s">
        <v>610</v>
      </c>
      <c r="C42" s="305">
        <v>275.99</v>
      </c>
      <c r="D42" s="305">
        <v>388.85</v>
      </c>
      <c r="E42" s="305">
        <f t="shared" si="1"/>
        <v>664.84</v>
      </c>
      <c r="F42" s="305">
        <v>9.85</v>
      </c>
      <c r="G42" s="305">
        <v>6.58</v>
      </c>
      <c r="H42" s="305">
        <f t="shared" si="2"/>
        <v>16.43</v>
      </c>
      <c r="I42" s="305">
        <v>263.52999999999997</v>
      </c>
      <c r="J42" s="305">
        <v>285.61</v>
      </c>
      <c r="K42" s="305">
        <f t="shared" si="3"/>
        <v>549.14</v>
      </c>
      <c r="L42" s="305">
        <v>178.04</v>
      </c>
      <c r="M42" s="305">
        <v>250.84</v>
      </c>
      <c r="N42" s="305">
        <f t="shared" si="4"/>
        <v>428.88</v>
      </c>
      <c r="O42" s="305">
        <f t="shared" si="5"/>
        <v>95.34</v>
      </c>
      <c r="P42" s="305">
        <f t="shared" si="6"/>
        <v>41.349999999999994</v>
      </c>
      <c r="Q42" s="305">
        <f t="shared" si="7"/>
        <v>136.68999999999994</v>
      </c>
      <c r="R42" s="383"/>
      <c r="S42" s="383"/>
      <c r="T42" s="363"/>
      <c r="U42" s="346"/>
      <c r="V42" s="346">
        <f t="shared" si="8"/>
        <v>0</v>
      </c>
    </row>
    <row r="43" spans="1:22">
      <c r="A43" s="204">
        <f t="shared" si="9"/>
        <v>30</v>
      </c>
      <c r="B43" s="502" t="s">
        <v>611</v>
      </c>
      <c r="C43" s="305">
        <v>134.63999999999999</v>
      </c>
      <c r="D43" s="305">
        <v>189.7</v>
      </c>
      <c r="E43" s="305">
        <f t="shared" si="1"/>
        <v>324.33999999999997</v>
      </c>
      <c r="F43" s="305">
        <v>4.8099999999999996</v>
      </c>
      <c r="G43" s="305">
        <v>3.21</v>
      </c>
      <c r="H43" s="305">
        <f t="shared" si="2"/>
        <v>8.02</v>
      </c>
      <c r="I43" s="305">
        <v>128.78</v>
      </c>
      <c r="J43" s="305">
        <v>139.57</v>
      </c>
      <c r="K43" s="305">
        <f t="shared" si="3"/>
        <v>268.35000000000002</v>
      </c>
      <c r="L43" s="305">
        <v>87</v>
      </c>
      <c r="M43" s="305">
        <v>122.58</v>
      </c>
      <c r="N43" s="305">
        <f t="shared" si="4"/>
        <v>209.57999999999998</v>
      </c>
      <c r="O43" s="305">
        <f t="shared" si="5"/>
        <v>46.59</v>
      </c>
      <c r="P43" s="305">
        <f t="shared" si="6"/>
        <v>20.200000000000003</v>
      </c>
      <c r="Q43" s="305">
        <f t="shared" si="7"/>
        <v>66.79000000000002</v>
      </c>
      <c r="R43" s="383"/>
      <c r="S43" s="383"/>
      <c r="T43" s="363"/>
      <c r="U43" s="346"/>
      <c r="V43" s="346">
        <f t="shared" si="8"/>
        <v>0</v>
      </c>
    </row>
    <row r="44" spans="1:22">
      <c r="A44" s="204">
        <f t="shared" si="9"/>
        <v>31</v>
      </c>
      <c r="B44" s="502" t="s">
        <v>612</v>
      </c>
      <c r="C44" s="305">
        <v>105.71</v>
      </c>
      <c r="D44" s="305">
        <v>148.93</v>
      </c>
      <c r="E44" s="305">
        <f t="shared" si="1"/>
        <v>254.64</v>
      </c>
      <c r="F44" s="305">
        <v>3.79</v>
      </c>
      <c r="G44" s="305">
        <v>2.5299999999999998</v>
      </c>
      <c r="H44" s="305">
        <f t="shared" si="2"/>
        <v>6.32</v>
      </c>
      <c r="I44" s="305">
        <v>101.29</v>
      </c>
      <c r="J44" s="305">
        <v>109.78</v>
      </c>
      <c r="K44" s="305">
        <f t="shared" si="3"/>
        <v>211.07</v>
      </c>
      <c r="L44" s="305">
        <v>68.430000000000007</v>
      </c>
      <c r="M44" s="305">
        <v>96.41</v>
      </c>
      <c r="N44" s="305">
        <f t="shared" si="4"/>
        <v>164.84</v>
      </c>
      <c r="O44" s="305">
        <f t="shared" si="5"/>
        <v>36.650000000000006</v>
      </c>
      <c r="P44" s="305">
        <f t="shared" si="6"/>
        <v>15.900000000000006</v>
      </c>
      <c r="Q44" s="305">
        <f t="shared" si="7"/>
        <v>52.549999999999983</v>
      </c>
      <c r="R44" s="383"/>
      <c r="S44" s="383"/>
      <c r="T44" s="363"/>
      <c r="U44" s="346"/>
      <c r="V44" s="346">
        <f t="shared" si="8"/>
        <v>0</v>
      </c>
    </row>
    <row r="45" spans="1:22">
      <c r="A45" s="204">
        <f t="shared" si="9"/>
        <v>32</v>
      </c>
      <c r="B45" s="502" t="s">
        <v>613</v>
      </c>
      <c r="C45" s="305">
        <v>128.19</v>
      </c>
      <c r="D45" s="305">
        <v>180.61</v>
      </c>
      <c r="E45" s="305">
        <f t="shared" si="1"/>
        <v>308.8</v>
      </c>
      <c r="F45" s="305">
        <v>4.8</v>
      </c>
      <c r="G45" s="305">
        <v>3.21</v>
      </c>
      <c r="H45" s="305">
        <f t="shared" si="2"/>
        <v>8.01</v>
      </c>
      <c r="I45" s="305">
        <v>128.4</v>
      </c>
      <c r="J45" s="305">
        <v>139.16</v>
      </c>
      <c r="K45" s="305">
        <f t="shared" si="3"/>
        <v>267.56</v>
      </c>
      <c r="L45" s="305">
        <v>86.75</v>
      </c>
      <c r="M45" s="305">
        <v>122.22</v>
      </c>
      <c r="N45" s="305">
        <f t="shared" si="4"/>
        <v>208.97</v>
      </c>
      <c r="O45" s="305">
        <f t="shared" si="5"/>
        <v>46.450000000000017</v>
      </c>
      <c r="P45" s="305">
        <f t="shared" si="6"/>
        <v>20.150000000000006</v>
      </c>
      <c r="Q45" s="305">
        <f t="shared" si="7"/>
        <v>66.599999999999994</v>
      </c>
      <c r="R45" s="383"/>
      <c r="S45" s="383"/>
      <c r="T45" s="363"/>
      <c r="U45" s="346"/>
      <c r="V45" s="346">
        <f t="shared" si="8"/>
        <v>0</v>
      </c>
    </row>
    <row r="46" spans="1:22">
      <c r="A46" s="204">
        <f t="shared" si="9"/>
        <v>33</v>
      </c>
      <c r="B46" s="502" t="s">
        <v>614</v>
      </c>
      <c r="C46" s="305">
        <v>108.97</v>
      </c>
      <c r="D46" s="305">
        <v>153.53</v>
      </c>
      <c r="E46" s="305">
        <f t="shared" si="1"/>
        <v>262.5</v>
      </c>
      <c r="F46" s="305">
        <v>4.16</v>
      </c>
      <c r="G46" s="305">
        <v>2.78</v>
      </c>
      <c r="H46" s="305">
        <f t="shared" si="2"/>
        <v>6.9399999999999995</v>
      </c>
      <c r="I46" s="305">
        <v>111.19</v>
      </c>
      <c r="J46" s="305">
        <v>120.51</v>
      </c>
      <c r="K46" s="305">
        <f t="shared" si="3"/>
        <v>231.7</v>
      </c>
      <c r="L46" s="305">
        <v>75.09</v>
      </c>
      <c r="M46" s="305">
        <v>105.84</v>
      </c>
      <c r="N46" s="305">
        <f t="shared" si="4"/>
        <v>180.93</v>
      </c>
      <c r="O46" s="305">
        <f t="shared" si="5"/>
        <v>40.259999999999991</v>
      </c>
      <c r="P46" s="305">
        <f t="shared" si="6"/>
        <v>17.450000000000003</v>
      </c>
      <c r="Q46" s="305">
        <f t="shared" si="7"/>
        <v>57.70999999999998</v>
      </c>
      <c r="R46" s="383"/>
      <c r="S46" s="383"/>
      <c r="T46" s="363"/>
      <c r="U46" s="346"/>
      <c r="V46" s="346">
        <f t="shared" si="8"/>
        <v>0</v>
      </c>
    </row>
    <row r="47" spans="1:22" s="5" customFormat="1">
      <c r="A47" s="274"/>
      <c r="B47" s="274" t="s">
        <v>615</v>
      </c>
      <c r="C47" s="307">
        <f>SUM(C14:C46)</f>
        <v>6510.4099999999989</v>
      </c>
      <c r="D47" s="307">
        <f t="shared" ref="D47:Q47" si="10">SUM(D14:D46)</f>
        <v>9172.6200000000008</v>
      </c>
      <c r="E47" s="307">
        <f t="shared" si="10"/>
        <v>15683.029999999995</v>
      </c>
      <c r="F47" s="307">
        <f t="shared" si="10"/>
        <v>234.62</v>
      </c>
      <c r="G47" s="307">
        <f t="shared" si="10"/>
        <v>156.71000000000004</v>
      </c>
      <c r="H47" s="307">
        <f t="shared" si="10"/>
        <v>391.33</v>
      </c>
      <c r="I47" s="307">
        <f t="shared" si="10"/>
        <v>6276.53</v>
      </c>
      <c r="J47" s="307">
        <f t="shared" si="10"/>
        <v>6802.5799999999981</v>
      </c>
      <c r="K47" s="307">
        <f t="shared" si="10"/>
        <v>13079.11</v>
      </c>
      <c r="L47" s="307">
        <f t="shared" si="10"/>
        <v>4240.3799999999992</v>
      </c>
      <c r="M47" s="307">
        <f t="shared" si="10"/>
        <v>5974.37</v>
      </c>
      <c r="N47" s="307">
        <f>SUM(N14:N46)</f>
        <v>10214.75</v>
      </c>
      <c r="O47" s="307">
        <f t="shared" si="10"/>
        <v>2270.7700000000004</v>
      </c>
      <c r="P47" s="307">
        <f t="shared" si="10"/>
        <v>984.92000000000007</v>
      </c>
      <c r="Q47" s="307">
        <f t="shared" si="10"/>
        <v>3255.69</v>
      </c>
      <c r="R47" s="346"/>
      <c r="S47" s="346"/>
      <c r="T47" s="346"/>
      <c r="U47" s="346"/>
      <c r="V47" s="346">
        <f t="shared" si="8"/>
        <v>0</v>
      </c>
    </row>
    <row r="48" spans="1:22">
      <c r="A48" s="3"/>
      <c r="B48" s="18"/>
      <c r="C48" s="18"/>
      <c r="D48" s="18"/>
      <c r="E48" s="397"/>
      <c r="F48" s="10"/>
      <c r="G48" s="10"/>
      <c r="H48" s="10"/>
      <c r="I48" s="10"/>
      <c r="J48" s="10"/>
      <c r="K48" s="10"/>
      <c r="L48" s="10"/>
      <c r="M48" s="10"/>
      <c r="N48" s="457"/>
      <c r="O48" s="10"/>
      <c r="P48" s="10"/>
      <c r="Q48" s="10"/>
    </row>
    <row r="49" spans="1:17" ht="14.25" customHeight="1">
      <c r="A49" s="860" t="s">
        <v>576</v>
      </c>
      <c r="B49" s="860"/>
      <c r="C49" s="860"/>
      <c r="D49" s="860"/>
      <c r="E49" s="860"/>
      <c r="F49" s="860"/>
      <c r="G49" s="860"/>
      <c r="H49" s="860"/>
      <c r="I49" s="860"/>
      <c r="J49" s="860"/>
      <c r="K49" s="860"/>
      <c r="L49" s="860"/>
      <c r="M49" s="860"/>
      <c r="N49" s="860"/>
      <c r="O49" s="860"/>
      <c r="P49" s="860"/>
      <c r="Q49" s="860"/>
    </row>
    <row r="50" spans="1:17" s="340" customFormat="1" ht="15.75" customHeight="1">
      <c r="A50" s="338"/>
      <c r="B50" s="339"/>
      <c r="C50" s="595"/>
      <c r="D50" s="595"/>
      <c r="E50" s="595"/>
      <c r="F50" s="595"/>
      <c r="G50" s="595"/>
      <c r="H50" s="595"/>
      <c r="I50" s="595"/>
      <c r="J50" s="595"/>
      <c r="K50" s="595"/>
      <c r="L50" s="595"/>
      <c r="M50" s="595"/>
      <c r="N50" s="595"/>
      <c r="O50" s="595"/>
      <c r="P50" s="595"/>
      <c r="Q50" s="595"/>
    </row>
    <row r="51" spans="1:17">
      <c r="F51" s="363"/>
      <c r="G51" s="363"/>
      <c r="H51" s="363"/>
      <c r="I51" s="510"/>
      <c r="J51" s="366"/>
    </row>
    <row r="52" spans="1:17" ht="15.75">
      <c r="F52" s="379"/>
      <c r="G52" s="379"/>
      <c r="J52" s="363"/>
      <c r="M52" s="761" t="s">
        <v>908</v>
      </c>
      <c r="N52" s="761"/>
      <c r="O52" s="761"/>
      <c r="P52" s="761"/>
      <c r="Q52" s="761"/>
    </row>
    <row r="53" spans="1:17" ht="15.75">
      <c r="M53" s="761" t="s">
        <v>646</v>
      </c>
      <c r="N53" s="761"/>
      <c r="O53" s="761"/>
      <c r="P53" s="761"/>
      <c r="Q53" s="761"/>
    </row>
    <row r="55" spans="1:17">
      <c r="G55" s="381"/>
      <c r="I55" s="5"/>
      <c r="J55" s="5"/>
    </row>
    <row r="56" spans="1:17">
      <c r="G56" s="381"/>
      <c r="I56" s="381"/>
      <c r="J56" s="381"/>
    </row>
    <row r="57" spans="1:17">
      <c r="G57" s="381"/>
      <c r="J57" s="381"/>
    </row>
  </sheetData>
  <mergeCells count="16">
    <mergeCell ref="M52:Q52"/>
    <mergeCell ref="M53:Q53"/>
    <mergeCell ref="P1:Q1"/>
    <mergeCell ref="A2:Q2"/>
    <mergeCell ref="A3:Q3"/>
    <mergeCell ref="N10:Q10"/>
    <mergeCell ref="A6:Q6"/>
    <mergeCell ref="A11:A12"/>
    <mergeCell ref="B11:B12"/>
    <mergeCell ref="I11:K11"/>
    <mergeCell ref="A9:B9"/>
    <mergeCell ref="O11:Q11"/>
    <mergeCell ref="L11:N11"/>
    <mergeCell ref="C11:E11"/>
    <mergeCell ref="F11:H11"/>
    <mergeCell ref="A49:Q49"/>
  </mergeCells>
  <phoneticPr fontId="0" type="noConversion"/>
  <printOptions horizontalCentered="1"/>
  <pageMargins left="0.48" right="0.41" top="0.43" bottom="0" header="0.31496062992125984" footer="0.31496062992125984"/>
  <pageSetup paperSize="9" scale="7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view="pageBreakPreview" zoomScale="90" zoomScaleNormal="85" zoomScaleSheetLayoutView="90" workbookViewId="0"/>
  </sheetViews>
  <sheetFormatPr defaultColWidth="9.140625" defaultRowHeight="12.75"/>
  <cols>
    <col min="1" max="1" width="7.42578125" style="6" customWidth="1"/>
    <col min="2" max="2" width="17.140625" style="6" customWidth="1"/>
    <col min="3" max="3" width="8.7109375" style="6" customWidth="1"/>
    <col min="4" max="4" width="8.140625" style="6" customWidth="1"/>
    <col min="5" max="5" width="10" style="6" customWidth="1"/>
    <col min="6" max="7" width="7.28515625" style="6" customWidth="1"/>
    <col min="8" max="8" width="8.140625" style="6" customWidth="1"/>
    <col min="9" max="9" width="9.28515625" style="6" customWidth="1"/>
    <col min="10" max="10" width="10" style="6" customWidth="1"/>
    <col min="11" max="11" width="8.42578125" style="6" customWidth="1"/>
    <col min="12" max="12" width="8.7109375" style="6" customWidth="1"/>
    <col min="13" max="13" width="7.85546875" style="6" customWidth="1"/>
    <col min="14" max="14" width="9.85546875" style="6" customWidth="1"/>
    <col min="15" max="15" width="13.7109375" style="6" customWidth="1"/>
    <col min="16" max="16" width="11.85546875" style="6" customWidth="1"/>
    <col min="17" max="17" width="9.7109375" style="6" customWidth="1"/>
    <col min="18" max="18" width="9.7109375" style="6" bestFit="1" customWidth="1"/>
    <col min="19" max="16384" width="9.140625" style="6"/>
  </cols>
  <sheetData>
    <row r="1" spans="1:29" customFormat="1" ht="15">
      <c r="H1" s="21"/>
      <c r="I1" s="21"/>
      <c r="J1" s="21"/>
      <c r="K1" s="21"/>
      <c r="L1" s="21"/>
      <c r="M1" s="21"/>
      <c r="N1" s="21"/>
      <c r="O1" s="21"/>
      <c r="P1" s="794" t="s">
        <v>86</v>
      </c>
      <c r="Q1" s="794"/>
      <c r="R1" s="861"/>
      <c r="S1" s="6"/>
      <c r="T1" s="25"/>
      <c r="U1" s="25"/>
    </row>
    <row r="2" spans="1:29" customFormat="1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861"/>
      <c r="S2" s="27"/>
      <c r="T2" s="27"/>
      <c r="U2" s="27"/>
    </row>
    <row r="3" spans="1:29" customFormat="1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861"/>
      <c r="S3" s="26"/>
      <c r="T3" s="26"/>
      <c r="U3" s="26"/>
    </row>
    <row r="4" spans="1:29" customFormat="1" ht="10.5" customHeight="1"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861"/>
    </row>
    <row r="5" spans="1:29" ht="9" customHeight="1">
      <c r="A5" s="13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2"/>
      <c r="Q5" s="10"/>
      <c r="R5" s="861"/>
    </row>
    <row r="6" spans="1:29" ht="18.600000000000001" customHeight="1">
      <c r="A6" s="704" t="s">
        <v>744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861"/>
    </row>
    <row r="7" spans="1:29" ht="5.45" customHeight="1">
      <c r="R7" s="861"/>
    </row>
    <row r="8" spans="1:29">
      <c r="A8" s="699" t="s">
        <v>658</v>
      </c>
      <c r="B8" s="699"/>
      <c r="Q8" s="19" t="s">
        <v>19</v>
      </c>
      <c r="R8" s="861"/>
    </row>
    <row r="9" spans="1:29" ht="15.75">
      <c r="A9" s="4"/>
      <c r="N9" s="853" t="s">
        <v>774</v>
      </c>
      <c r="O9" s="853"/>
      <c r="P9" s="853"/>
      <c r="Q9" s="853"/>
      <c r="R9" s="861"/>
      <c r="S9" s="10"/>
    </row>
    <row r="10" spans="1:29" ht="37.15" customHeight="1">
      <c r="A10" s="795" t="s">
        <v>2</v>
      </c>
      <c r="B10" s="795" t="s">
        <v>3</v>
      </c>
      <c r="C10" s="668" t="s">
        <v>745</v>
      </c>
      <c r="D10" s="668"/>
      <c r="E10" s="668"/>
      <c r="F10" s="668" t="s">
        <v>769</v>
      </c>
      <c r="G10" s="668"/>
      <c r="H10" s="668"/>
      <c r="I10" s="854" t="s">
        <v>360</v>
      </c>
      <c r="J10" s="855"/>
      <c r="K10" s="856"/>
      <c r="L10" s="854" t="s">
        <v>87</v>
      </c>
      <c r="M10" s="855"/>
      <c r="N10" s="856"/>
      <c r="O10" s="857" t="s">
        <v>780</v>
      </c>
      <c r="P10" s="858"/>
      <c r="Q10" s="859"/>
      <c r="R10" s="861"/>
    </row>
    <row r="11" spans="1:29" ht="39.75" customHeight="1">
      <c r="A11" s="796"/>
      <c r="B11" s="796"/>
      <c r="C11" s="1" t="s">
        <v>107</v>
      </c>
      <c r="D11" s="137" t="s">
        <v>573</v>
      </c>
      <c r="E11" s="24" t="s">
        <v>16</v>
      </c>
      <c r="F11" s="1" t="s">
        <v>107</v>
      </c>
      <c r="G11" s="137" t="s">
        <v>574</v>
      </c>
      <c r="H11" s="24" t="s">
        <v>16</v>
      </c>
      <c r="I11" s="1" t="s">
        <v>107</v>
      </c>
      <c r="J11" s="137" t="s">
        <v>574</v>
      </c>
      <c r="K11" s="24" t="s">
        <v>16</v>
      </c>
      <c r="L11" s="1" t="s">
        <v>107</v>
      </c>
      <c r="M11" s="137" t="s">
        <v>574</v>
      </c>
      <c r="N11" s="24" t="s">
        <v>16</v>
      </c>
      <c r="O11" s="1" t="s">
        <v>228</v>
      </c>
      <c r="P11" s="137" t="s">
        <v>575</v>
      </c>
      <c r="Q11" s="1" t="s">
        <v>108</v>
      </c>
    </row>
    <row r="12" spans="1:29" s="33" customFormat="1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</row>
    <row r="13" spans="1:29" s="33" customFormat="1">
      <c r="A13" s="204">
        <v>1</v>
      </c>
      <c r="B13" s="204" t="s">
        <v>624</v>
      </c>
      <c r="C13" s="305">
        <v>141.76</v>
      </c>
      <c r="D13" s="305">
        <v>164.63</v>
      </c>
      <c r="E13" s="305">
        <f>SUM(C13:D13)</f>
        <v>306.39</v>
      </c>
      <c r="F13" s="305">
        <v>5.56</v>
      </c>
      <c r="G13" s="305">
        <v>3.72</v>
      </c>
      <c r="H13" s="305">
        <f>SUM(F13:G13)</f>
        <v>9.2799999999999994</v>
      </c>
      <c r="I13" s="305">
        <v>149.1</v>
      </c>
      <c r="J13" s="305">
        <v>144.78</v>
      </c>
      <c r="K13" s="305">
        <f>SUM(I13:J13)</f>
        <v>293.88</v>
      </c>
      <c r="L13" s="305">
        <v>94.91</v>
      </c>
      <c r="M13" s="305">
        <v>110.21</v>
      </c>
      <c r="N13" s="305">
        <f>SUM(L13:M13)</f>
        <v>205.12</v>
      </c>
      <c r="O13" s="305">
        <f>F13+I13-L13</f>
        <v>59.75</v>
      </c>
      <c r="P13" s="305">
        <f>G13+J13-M13</f>
        <v>38.290000000000006</v>
      </c>
      <c r="Q13" s="305">
        <f>K13+H13-N13</f>
        <v>98.039999999999964</v>
      </c>
      <c r="R13" s="383"/>
      <c r="S13" s="38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</row>
    <row r="14" spans="1:29" s="33" customFormat="1">
      <c r="A14" s="204">
        <f>A13+1</f>
        <v>2</v>
      </c>
      <c r="B14" s="204" t="s">
        <v>589</v>
      </c>
      <c r="C14" s="305">
        <v>163.75</v>
      </c>
      <c r="D14" s="305">
        <v>190.16</v>
      </c>
      <c r="E14" s="305">
        <f t="shared" ref="E14:E44" si="0">SUM(C14:D14)</f>
        <v>353.90999999999997</v>
      </c>
      <c r="F14" s="305">
        <v>5.56</v>
      </c>
      <c r="G14" s="305">
        <v>3.71</v>
      </c>
      <c r="H14" s="305">
        <f t="shared" ref="H14:H44" si="1">SUM(F14:G14)</f>
        <v>9.27</v>
      </c>
      <c r="I14" s="305">
        <v>149.01</v>
      </c>
      <c r="J14" s="305">
        <v>144.69</v>
      </c>
      <c r="K14" s="305">
        <f t="shared" ref="K14:K44" si="2">SUM(I14:J14)</f>
        <v>293.7</v>
      </c>
      <c r="L14" s="305">
        <v>94.85</v>
      </c>
      <c r="M14" s="305">
        <v>110.15</v>
      </c>
      <c r="N14" s="305">
        <f t="shared" ref="N14:N44" si="3">SUM(L14:M14)</f>
        <v>205</v>
      </c>
      <c r="O14" s="305">
        <f t="shared" ref="O14:O45" si="4">F14+I14-L14</f>
        <v>59.72</v>
      </c>
      <c r="P14" s="305">
        <f t="shared" ref="P14:P45" si="5">G14+J14-M14</f>
        <v>38.25</v>
      </c>
      <c r="Q14" s="305">
        <f t="shared" ref="Q14:Q45" si="6">K14+H14-N14</f>
        <v>97.96999999999997</v>
      </c>
      <c r="R14" s="383"/>
      <c r="S14" s="38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</row>
    <row r="15" spans="1:29" s="33" customFormat="1">
      <c r="A15" s="204">
        <f t="shared" ref="A15:A45" si="7">A14+1</f>
        <v>3</v>
      </c>
      <c r="B15" s="204" t="s">
        <v>625</v>
      </c>
      <c r="C15" s="305">
        <v>376.81</v>
      </c>
      <c r="D15" s="305">
        <v>437.58</v>
      </c>
      <c r="E15" s="413">
        <f t="shared" si="0"/>
        <v>814.39</v>
      </c>
      <c r="F15" s="305">
        <v>14.07</v>
      </c>
      <c r="G15" s="305">
        <v>9.39</v>
      </c>
      <c r="H15" s="413">
        <f t="shared" si="1"/>
        <v>23.46</v>
      </c>
      <c r="I15" s="305">
        <v>377.05</v>
      </c>
      <c r="J15" s="305">
        <v>366.11</v>
      </c>
      <c r="K15" s="413">
        <f t="shared" si="2"/>
        <v>743.16000000000008</v>
      </c>
      <c r="L15" s="305">
        <v>239.99</v>
      </c>
      <c r="M15" s="305">
        <v>278.7</v>
      </c>
      <c r="N15" s="305">
        <f t="shared" si="3"/>
        <v>518.69000000000005</v>
      </c>
      <c r="O15" s="413">
        <f t="shared" si="4"/>
        <v>151.13</v>
      </c>
      <c r="P15" s="305">
        <f t="shared" si="5"/>
        <v>96.800000000000011</v>
      </c>
      <c r="Q15" s="305">
        <f t="shared" si="6"/>
        <v>247.93000000000006</v>
      </c>
      <c r="R15" s="383"/>
      <c r="S15" s="38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</row>
    <row r="16" spans="1:29" s="33" customFormat="1">
      <c r="A16" s="204">
        <f t="shared" si="7"/>
        <v>4</v>
      </c>
      <c r="B16" s="204" t="s">
        <v>590</v>
      </c>
      <c r="C16" s="305">
        <v>168.06</v>
      </c>
      <c r="D16" s="305">
        <v>195.16</v>
      </c>
      <c r="E16" s="413">
        <f t="shared" si="0"/>
        <v>363.22</v>
      </c>
      <c r="F16" s="305">
        <v>6.08</v>
      </c>
      <c r="G16" s="305">
        <v>4.0599999999999996</v>
      </c>
      <c r="H16" s="413">
        <f t="shared" si="1"/>
        <v>10.14</v>
      </c>
      <c r="I16" s="305">
        <v>163</v>
      </c>
      <c r="J16" s="305">
        <v>158.27000000000001</v>
      </c>
      <c r="K16" s="413">
        <f t="shared" si="2"/>
        <v>321.27</v>
      </c>
      <c r="L16" s="305">
        <v>103.75</v>
      </c>
      <c r="M16" s="305">
        <v>120.48</v>
      </c>
      <c r="N16" s="305">
        <f t="shared" si="3"/>
        <v>224.23000000000002</v>
      </c>
      <c r="O16" s="305">
        <f t="shared" si="4"/>
        <v>65.330000000000013</v>
      </c>
      <c r="P16" s="305">
        <f t="shared" si="5"/>
        <v>41.850000000000009</v>
      </c>
      <c r="Q16" s="305">
        <f t="shared" si="6"/>
        <v>107.17999999999995</v>
      </c>
      <c r="R16" s="383"/>
      <c r="S16" s="38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</row>
    <row r="17" spans="1:29" s="33" customFormat="1">
      <c r="A17" s="204">
        <f t="shared" si="7"/>
        <v>5</v>
      </c>
      <c r="B17" s="204" t="s">
        <v>591</v>
      </c>
      <c r="C17" s="305">
        <v>110.88</v>
      </c>
      <c r="D17" s="305">
        <v>128.76</v>
      </c>
      <c r="E17" s="413">
        <f t="shared" si="0"/>
        <v>239.64</v>
      </c>
      <c r="F17" s="305">
        <v>4.03</v>
      </c>
      <c r="G17" s="305">
        <v>2.69</v>
      </c>
      <c r="H17" s="413">
        <f t="shared" si="1"/>
        <v>6.7200000000000006</v>
      </c>
      <c r="I17" s="305">
        <v>108.07</v>
      </c>
      <c r="J17" s="305">
        <v>104.93</v>
      </c>
      <c r="K17" s="413">
        <f t="shared" si="2"/>
        <v>213</v>
      </c>
      <c r="L17" s="305">
        <v>68.790000000000006</v>
      </c>
      <c r="M17" s="305">
        <v>79.88</v>
      </c>
      <c r="N17" s="305">
        <f t="shared" si="3"/>
        <v>148.67000000000002</v>
      </c>
      <c r="O17" s="305">
        <f t="shared" si="4"/>
        <v>43.309999999999988</v>
      </c>
      <c r="P17" s="305">
        <f t="shared" si="5"/>
        <v>27.740000000000009</v>
      </c>
      <c r="Q17" s="305">
        <f t="shared" si="6"/>
        <v>71.049999999999983</v>
      </c>
      <c r="R17" s="383"/>
      <c r="S17" s="38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</row>
    <row r="18" spans="1:29" s="33" customFormat="1">
      <c r="A18" s="204">
        <f t="shared" si="7"/>
        <v>6</v>
      </c>
      <c r="B18" s="204" t="s">
        <v>592</v>
      </c>
      <c r="C18" s="305">
        <v>62.17</v>
      </c>
      <c r="D18" s="305">
        <v>72.19</v>
      </c>
      <c r="E18" s="413">
        <f t="shared" si="0"/>
        <v>134.36000000000001</v>
      </c>
      <c r="F18" s="305">
        <v>2.04</v>
      </c>
      <c r="G18" s="305">
        <v>1.36</v>
      </c>
      <c r="H18" s="413">
        <f t="shared" si="1"/>
        <v>3.4000000000000004</v>
      </c>
      <c r="I18" s="305">
        <v>54.7</v>
      </c>
      <c r="J18" s="305">
        <v>53.11</v>
      </c>
      <c r="K18" s="413">
        <f t="shared" si="2"/>
        <v>107.81</v>
      </c>
      <c r="L18" s="305">
        <v>34.82</v>
      </c>
      <c r="M18" s="305">
        <v>40.43</v>
      </c>
      <c r="N18" s="305">
        <f t="shared" si="3"/>
        <v>75.25</v>
      </c>
      <c r="O18" s="305">
        <f t="shared" si="4"/>
        <v>21.92</v>
      </c>
      <c r="P18" s="305">
        <f t="shared" si="5"/>
        <v>14.04</v>
      </c>
      <c r="Q18" s="305">
        <f t="shared" si="6"/>
        <v>35.960000000000008</v>
      </c>
      <c r="R18" s="383"/>
      <c r="S18" s="38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</row>
    <row r="19" spans="1:29" s="33" customFormat="1">
      <c r="A19" s="204">
        <f t="shared" si="7"/>
        <v>7</v>
      </c>
      <c r="B19" s="204" t="s">
        <v>593</v>
      </c>
      <c r="C19" s="305">
        <v>156.55000000000001</v>
      </c>
      <c r="D19" s="305">
        <v>181.8</v>
      </c>
      <c r="E19" s="413">
        <f t="shared" si="0"/>
        <v>338.35</v>
      </c>
      <c r="F19" s="305">
        <v>5.85</v>
      </c>
      <c r="G19" s="305">
        <v>3.9</v>
      </c>
      <c r="H19" s="413">
        <f t="shared" si="1"/>
        <v>9.75</v>
      </c>
      <c r="I19" s="305">
        <v>156.69</v>
      </c>
      <c r="J19" s="305">
        <v>152.13999999999999</v>
      </c>
      <c r="K19" s="413">
        <f t="shared" si="2"/>
        <v>308.83</v>
      </c>
      <c r="L19" s="305">
        <v>99.73</v>
      </c>
      <c r="M19" s="305">
        <v>115.82</v>
      </c>
      <c r="N19" s="305">
        <f t="shared" si="3"/>
        <v>215.55</v>
      </c>
      <c r="O19" s="305">
        <f t="shared" si="4"/>
        <v>62.809999999999988</v>
      </c>
      <c r="P19" s="305">
        <f t="shared" si="5"/>
        <v>40.22</v>
      </c>
      <c r="Q19" s="305">
        <f t="shared" si="6"/>
        <v>103.02999999999997</v>
      </c>
      <c r="R19" s="383"/>
      <c r="S19" s="38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</row>
    <row r="20" spans="1:29" s="33" customFormat="1">
      <c r="A20" s="204">
        <f t="shared" si="7"/>
        <v>8</v>
      </c>
      <c r="B20" s="204" t="s">
        <v>594</v>
      </c>
      <c r="C20" s="305">
        <v>223.83</v>
      </c>
      <c r="D20" s="305">
        <v>259.93</v>
      </c>
      <c r="E20" s="413">
        <f t="shared" si="0"/>
        <v>483.76</v>
      </c>
      <c r="F20" s="305">
        <v>7.87</v>
      </c>
      <c r="G20" s="305">
        <v>5.26</v>
      </c>
      <c r="H20" s="413">
        <f t="shared" si="1"/>
        <v>13.129999999999999</v>
      </c>
      <c r="I20" s="305">
        <v>210.97</v>
      </c>
      <c r="J20" s="305">
        <v>204.84</v>
      </c>
      <c r="K20" s="413">
        <f t="shared" si="2"/>
        <v>415.81</v>
      </c>
      <c r="L20" s="305">
        <v>134.28</v>
      </c>
      <c r="M20" s="305">
        <v>155.94</v>
      </c>
      <c r="N20" s="305">
        <f t="shared" si="3"/>
        <v>290.22000000000003</v>
      </c>
      <c r="O20" s="305">
        <f t="shared" si="4"/>
        <v>84.56</v>
      </c>
      <c r="P20" s="305">
        <f t="shared" si="5"/>
        <v>54.16</v>
      </c>
      <c r="Q20" s="305">
        <f t="shared" si="6"/>
        <v>138.71999999999997</v>
      </c>
      <c r="R20" s="383"/>
      <c r="S20" s="38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</row>
    <row r="21" spans="1:29" s="33" customFormat="1">
      <c r="A21" s="204">
        <f t="shared" si="7"/>
        <v>9</v>
      </c>
      <c r="B21" s="204" t="s">
        <v>595</v>
      </c>
      <c r="C21" s="305">
        <v>135.32</v>
      </c>
      <c r="D21" s="305">
        <v>157.15</v>
      </c>
      <c r="E21" s="413">
        <f t="shared" si="0"/>
        <v>292.47000000000003</v>
      </c>
      <c r="F21" s="305">
        <v>4.62</v>
      </c>
      <c r="G21" s="305">
        <v>3.09</v>
      </c>
      <c r="H21" s="413">
        <f t="shared" si="1"/>
        <v>7.71</v>
      </c>
      <c r="I21" s="305">
        <v>123.91</v>
      </c>
      <c r="J21" s="305">
        <v>120.32</v>
      </c>
      <c r="K21" s="413">
        <f t="shared" si="2"/>
        <v>244.23</v>
      </c>
      <c r="L21" s="305">
        <v>78.87</v>
      </c>
      <c r="M21" s="305">
        <v>91.59</v>
      </c>
      <c r="N21" s="305">
        <f t="shared" si="3"/>
        <v>170.46</v>
      </c>
      <c r="O21" s="305">
        <f t="shared" si="4"/>
        <v>49.66</v>
      </c>
      <c r="P21" s="305">
        <f t="shared" si="5"/>
        <v>31.819999999999993</v>
      </c>
      <c r="Q21" s="305">
        <f t="shared" si="6"/>
        <v>81.47999999999999</v>
      </c>
      <c r="R21" s="383"/>
      <c r="S21" s="38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</row>
    <row r="22" spans="1:29" s="33" customFormat="1">
      <c r="A22" s="204">
        <f t="shared" si="7"/>
        <v>10</v>
      </c>
      <c r="B22" s="204" t="s">
        <v>596</v>
      </c>
      <c r="C22" s="305">
        <v>228.08</v>
      </c>
      <c r="D22" s="305">
        <v>264.87</v>
      </c>
      <c r="E22" s="413">
        <f t="shared" si="0"/>
        <v>492.95000000000005</v>
      </c>
      <c r="F22" s="305">
        <v>8.06</v>
      </c>
      <c r="G22" s="305">
        <v>5.38</v>
      </c>
      <c r="H22" s="413">
        <f t="shared" si="1"/>
        <v>13.440000000000001</v>
      </c>
      <c r="I22" s="305">
        <v>215.94</v>
      </c>
      <c r="J22" s="305">
        <v>209.67</v>
      </c>
      <c r="K22" s="413">
        <f t="shared" si="2"/>
        <v>425.61</v>
      </c>
      <c r="L22" s="305">
        <v>137.44999999999999</v>
      </c>
      <c r="M22" s="305">
        <v>159.62</v>
      </c>
      <c r="N22" s="305">
        <f t="shared" si="3"/>
        <v>297.07</v>
      </c>
      <c r="O22" s="305">
        <f t="shared" si="4"/>
        <v>86.550000000000011</v>
      </c>
      <c r="P22" s="305">
        <f t="shared" si="5"/>
        <v>55.429999999999978</v>
      </c>
      <c r="Q22" s="305">
        <f t="shared" si="6"/>
        <v>141.98000000000002</v>
      </c>
      <c r="R22" s="383"/>
      <c r="S22" s="38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</row>
    <row r="23" spans="1:29" s="33" customFormat="1">
      <c r="A23" s="204">
        <f t="shared" si="7"/>
        <v>11</v>
      </c>
      <c r="B23" s="204" t="s">
        <v>626</v>
      </c>
      <c r="C23" s="305">
        <v>99.89</v>
      </c>
      <c r="D23" s="305">
        <v>116</v>
      </c>
      <c r="E23" s="413">
        <f t="shared" si="0"/>
        <v>215.89</v>
      </c>
      <c r="F23" s="305">
        <v>3.54</v>
      </c>
      <c r="G23" s="305">
        <v>2.37</v>
      </c>
      <c r="H23" s="413">
        <f t="shared" si="1"/>
        <v>5.91</v>
      </c>
      <c r="I23" s="305">
        <v>94.99</v>
      </c>
      <c r="J23" s="305">
        <v>92.24</v>
      </c>
      <c r="K23" s="413">
        <f t="shared" si="2"/>
        <v>187.23</v>
      </c>
      <c r="L23" s="305">
        <v>60.46</v>
      </c>
      <c r="M23" s="305">
        <v>70.22</v>
      </c>
      <c r="N23" s="305">
        <f t="shared" si="3"/>
        <v>130.68</v>
      </c>
      <c r="O23" s="305">
        <f t="shared" si="4"/>
        <v>38.07</v>
      </c>
      <c r="P23" s="305">
        <f t="shared" si="5"/>
        <v>24.39</v>
      </c>
      <c r="Q23" s="305">
        <f t="shared" si="6"/>
        <v>62.45999999999998</v>
      </c>
      <c r="R23" s="383"/>
      <c r="S23" s="38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</row>
    <row r="24" spans="1:29" s="33" customFormat="1">
      <c r="A24" s="204">
        <f t="shared" si="7"/>
        <v>12</v>
      </c>
      <c r="B24" s="204" t="s">
        <v>597</v>
      </c>
      <c r="C24" s="305">
        <v>127.9</v>
      </c>
      <c r="D24" s="305">
        <v>148.53</v>
      </c>
      <c r="E24" s="413">
        <f t="shared" si="0"/>
        <v>276.43</v>
      </c>
      <c r="F24" s="305">
        <v>4.59</v>
      </c>
      <c r="G24" s="305">
        <v>3.07</v>
      </c>
      <c r="H24" s="413">
        <f t="shared" si="1"/>
        <v>7.66</v>
      </c>
      <c r="I24" s="305">
        <v>123.1</v>
      </c>
      <c r="J24" s="305">
        <v>119.53</v>
      </c>
      <c r="K24" s="413">
        <f t="shared" si="2"/>
        <v>242.63</v>
      </c>
      <c r="L24" s="305">
        <v>78.36</v>
      </c>
      <c r="M24" s="305">
        <v>91</v>
      </c>
      <c r="N24" s="305">
        <f t="shared" si="3"/>
        <v>169.36</v>
      </c>
      <c r="O24" s="305">
        <f t="shared" si="4"/>
        <v>49.33</v>
      </c>
      <c r="P24" s="305">
        <f t="shared" si="5"/>
        <v>31.599999999999994</v>
      </c>
      <c r="Q24" s="305">
        <f t="shared" si="6"/>
        <v>80.929999999999978</v>
      </c>
      <c r="R24" s="383"/>
      <c r="S24" s="38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</row>
    <row r="25" spans="1:29" s="33" customFormat="1">
      <c r="A25" s="204">
        <f t="shared" si="7"/>
        <v>13</v>
      </c>
      <c r="B25" s="204" t="s">
        <v>598</v>
      </c>
      <c r="C25" s="305">
        <v>234.01</v>
      </c>
      <c r="D25" s="305">
        <v>271.76</v>
      </c>
      <c r="E25" s="413">
        <f t="shared" si="0"/>
        <v>505.77</v>
      </c>
      <c r="F25" s="305">
        <v>7.49</v>
      </c>
      <c r="G25" s="305">
        <v>5</v>
      </c>
      <c r="H25" s="413">
        <f t="shared" si="1"/>
        <v>12.49</v>
      </c>
      <c r="I25" s="305">
        <v>200.64</v>
      </c>
      <c r="J25" s="305">
        <v>194.82</v>
      </c>
      <c r="K25" s="413">
        <f t="shared" si="2"/>
        <v>395.46</v>
      </c>
      <c r="L25" s="305">
        <v>127.71</v>
      </c>
      <c r="M25" s="305">
        <v>148.31</v>
      </c>
      <c r="N25" s="305">
        <f t="shared" si="3"/>
        <v>276.02</v>
      </c>
      <c r="O25" s="305">
        <f t="shared" si="4"/>
        <v>80.42</v>
      </c>
      <c r="P25" s="305">
        <f t="shared" si="5"/>
        <v>51.509999999999991</v>
      </c>
      <c r="Q25" s="305">
        <f t="shared" si="6"/>
        <v>131.93</v>
      </c>
      <c r="R25" s="383"/>
      <c r="S25" s="38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</row>
    <row r="26" spans="1:29" s="33" customFormat="1">
      <c r="A26" s="204">
        <f t="shared" si="7"/>
        <v>14</v>
      </c>
      <c r="B26" s="204" t="s">
        <v>627</v>
      </c>
      <c r="C26" s="305">
        <v>146.16</v>
      </c>
      <c r="D26" s="305">
        <v>169.73</v>
      </c>
      <c r="E26" s="413">
        <f t="shared" si="0"/>
        <v>315.89</v>
      </c>
      <c r="F26" s="305">
        <v>4.88</v>
      </c>
      <c r="G26" s="305">
        <v>3.26</v>
      </c>
      <c r="H26" s="413">
        <f t="shared" si="1"/>
        <v>8.14</v>
      </c>
      <c r="I26" s="305">
        <v>130.94</v>
      </c>
      <c r="J26" s="305">
        <v>127.14</v>
      </c>
      <c r="K26" s="413">
        <f t="shared" si="2"/>
        <v>258.08</v>
      </c>
      <c r="L26" s="305">
        <v>83.34</v>
      </c>
      <c r="M26" s="305">
        <v>96.79</v>
      </c>
      <c r="N26" s="305">
        <f t="shared" si="3"/>
        <v>180.13</v>
      </c>
      <c r="O26" s="305">
        <f t="shared" si="4"/>
        <v>52.47999999999999</v>
      </c>
      <c r="P26" s="305">
        <f t="shared" si="5"/>
        <v>33.61</v>
      </c>
      <c r="Q26" s="305">
        <f t="shared" si="6"/>
        <v>86.089999999999975</v>
      </c>
      <c r="R26" s="383"/>
      <c r="S26" s="38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</row>
    <row r="27" spans="1:29" s="33" customFormat="1">
      <c r="A27" s="204">
        <f t="shared" si="7"/>
        <v>15</v>
      </c>
      <c r="B27" s="204" t="s">
        <v>599</v>
      </c>
      <c r="C27" s="305">
        <v>223.56</v>
      </c>
      <c r="D27" s="305">
        <v>259.62</v>
      </c>
      <c r="E27" s="413">
        <f t="shared" si="0"/>
        <v>483.18</v>
      </c>
      <c r="F27" s="305">
        <v>7.9</v>
      </c>
      <c r="G27" s="305">
        <v>5.28</v>
      </c>
      <c r="H27" s="413">
        <f t="shared" si="1"/>
        <v>13.18</v>
      </c>
      <c r="I27" s="305">
        <v>211.83</v>
      </c>
      <c r="J27" s="305">
        <v>205.68</v>
      </c>
      <c r="K27" s="413">
        <f t="shared" si="2"/>
        <v>417.51</v>
      </c>
      <c r="L27" s="305">
        <v>134.83000000000001</v>
      </c>
      <c r="M27" s="305">
        <v>156.58000000000001</v>
      </c>
      <c r="N27" s="305">
        <f t="shared" si="3"/>
        <v>291.41000000000003</v>
      </c>
      <c r="O27" s="413">
        <f t="shared" si="4"/>
        <v>84.9</v>
      </c>
      <c r="P27" s="305">
        <f t="shared" si="5"/>
        <v>54.379999999999995</v>
      </c>
      <c r="Q27" s="305">
        <f t="shared" si="6"/>
        <v>139.27999999999997</v>
      </c>
      <c r="R27" s="383"/>
      <c r="S27" s="38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</row>
    <row r="28" spans="1:29">
      <c r="A28" s="204">
        <f t="shared" si="7"/>
        <v>16</v>
      </c>
      <c r="B28" s="204" t="s">
        <v>600</v>
      </c>
      <c r="C28" s="305">
        <v>229.2</v>
      </c>
      <c r="D28" s="305">
        <v>266.17</v>
      </c>
      <c r="E28" s="413">
        <f t="shared" si="0"/>
        <v>495.37</v>
      </c>
      <c r="F28" s="305">
        <v>8.44</v>
      </c>
      <c r="G28" s="305">
        <v>5.64</v>
      </c>
      <c r="H28" s="413">
        <f t="shared" si="1"/>
        <v>14.079999999999998</v>
      </c>
      <c r="I28" s="305">
        <v>226.27</v>
      </c>
      <c r="J28" s="305">
        <v>219.71</v>
      </c>
      <c r="K28" s="413">
        <f t="shared" si="2"/>
        <v>445.98</v>
      </c>
      <c r="L28" s="305">
        <v>144.02000000000001</v>
      </c>
      <c r="M28" s="305">
        <v>167.25</v>
      </c>
      <c r="N28" s="305">
        <f t="shared" si="3"/>
        <v>311.27</v>
      </c>
      <c r="O28" s="413">
        <f t="shared" si="4"/>
        <v>90.69</v>
      </c>
      <c r="P28" s="305">
        <f t="shared" si="5"/>
        <v>58.099999999999994</v>
      </c>
      <c r="Q28" s="305">
        <f t="shared" si="6"/>
        <v>148.79000000000002</v>
      </c>
      <c r="R28" s="383"/>
      <c r="S28" s="38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</row>
    <row r="29" spans="1:29" s="527" customFormat="1">
      <c r="A29" s="204">
        <f t="shared" si="7"/>
        <v>17</v>
      </c>
      <c r="B29" s="529" t="s">
        <v>684</v>
      </c>
      <c r="C29" s="305">
        <v>44.34</v>
      </c>
      <c r="D29" s="305">
        <v>51.49</v>
      </c>
      <c r="E29" s="413">
        <f t="shared" si="0"/>
        <v>95.830000000000013</v>
      </c>
      <c r="F29" s="305">
        <v>1.44</v>
      </c>
      <c r="G29" s="305">
        <v>0.96</v>
      </c>
      <c r="H29" s="413">
        <f t="shared" si="1"/>
        <v>2.4</v>
      </c>
      <c r="I29" s="305">
        <v>38.630000000000003</v>
      </c>
      <c r="J29" s="305">
        <v>37.51</v>
      </c>
      <c r="K29" s="413">
        <f t="shared" si="2"/>
        <v>76.14</v>
      </c>
      <c r="L29" s="305">
        <v>24.59</v>
      </c>
      <c r="M29" s="305">
        <v>28.56</v>
      </c>
      <c r="N29" s="305">
        <f t="shared" si="3"/>
        <v>53.15</v>
      </c>
      <c r="O29" s="413">
        <f t="shared" ref="O29:O38" si="8">F29+I29-L29</f>
        <v>15.48</v>
      </c>
      <c r="P29" s="305">
        <f t="shared" ref="P29:P38" si="9">G29+J29-M29</f>
        <v>9.91</v>
      </c>
      <c r="Q29" s="305">
        <f t="shared" ref="Q29:Q38" si="10">K29+H29-N29</f>
        <v>25.390000000000008</v>
      </c>
      <c r="R29" s="383"/>
      <c r="S29" s="38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</row>
    <row r="30" spans="1:29">
      <c r="A30" s="204">
        <f t="shared" si="7"/>
        <v>18</v>
      </c>
      <c r="B30" s="204" t="s">
        <v>601</v>
      </c>
      <c r="C30" s="305">
        <v>183.05</v>
      </c>
      <c r="D30" s="305">
        <v>212.58</v>
      </c>
      <c r="E30" s="413">
        <f t="shared" si="0"/>
        <v>395.63</v>
      </c>
      <c r="F30" s="305">
        <v>6.26</v>
      </c>
      <c r="G30" s="305">
        <v>4.18</v>
      </c>
      <c r="H30" s="413">
        <f t="shared" si="1"/>
        <v>10.44</v>
      </c>
      <c r="I30" s="305">
        <v>167.75</v>
      </c>
      <c r="J30" s="305">
        <v>162.88</v>
      </c>
      <c r="K30" s="413">
        <f t="shared" si="2"/>
        <v>330.63</v>
      </c>
      <c r="L30" s="305">
        <v>106.77</v>
      </c>
      <c r="M30" s="305">
        <v>124</v>
      </c>
      <c r="N30" s="305">
        <f t="shared" si="3"/>
        <v>230.76999999999998</v>
      </c>
      <c r="O30" s="413">
        <f t="shared" si="8"/>
        <v>67.239999999999995</v>
      </c>
      <c r="P30" s="305">
        <f t="shared" si="9"/>
        <v>43.06</v>
      </c>
      <c r="Q30" s="305">
        <f t="shared" si="10"/>
        <v>110.30000000000001</v>
      </c>
      <c r="R30" s="383"/>
      <c r="S30" s="38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</row>
    <row r="31" spans="1:29">
      <c r="A31" s="204">
        <f t="shared" si="7"/>
        <v>19</v>
      </c>
      <c r="B31" s="204" t="s">
        <v>602</v>
      </c>
      <c r="C31" s="305">
        <v>274.8</v>
      </c>
      <c r="D31" s="305">
        <v>319.12</v>
      </c>
      <c r="E31" s="413">
        <f t="shared" si="0"/>
        <v>593.92000000000007</v>
      </c>
      <c r="F31" s="305">
        <v>10.55</v>
      </c>
      <c r="G31" s="305">
        <v>7.05</v>
      </c>
      <c r="H31" s="413">
        <f t="shared" si="1"/>
        <v>17.600000000000001</v>
      </c>
      <c r="I31" s="305">
        <v>282.75</v>
      </c>
      <c r="J31" s="305">
        <v>274.55</v>
      </c>
      <c r="K31" s="413">
        <f t="shared" si="2"/>
        <v>557.29999999999995</v>
      </c>
      <c r="L31" s="305">
        <v>179.97</v>
      </c>
      <c r="M31" s="305">
        <v>209</v>
      </c>
      <c r="N31" s="305">
        <f t="shared" si="3"/>
        <v>388.97</v>
      </c>
      <c r="O31" s="413">
        <f t="shared" si="8"/>
        <v>113.33000000000001</v>
      </c>
      <c r="P31" s="305">
        <f t="shared" si="9"/>
        <v>72.600000000000023</v>
      </c>
      <c r="Q31" s="305">
        <f t="shared" si="10"/>
        <v>185.92999999999995</v>
      </c>
      <c r="R31" s="383"/>
      <c r="S31" s="38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</row>
    <row r="32" spans="1:29" s="527" customFormat="1">
      <c r="A32" s="204">
        <f t="shared" si="7"/>
        <v>20</v>
      </c>
      <c r="B32" s="529" t="s">
        <v>683</v>
      </c>
      <c r="C32" s="305">
        <v>154.35</v>
      </c>
      <c r="D32" s="305">
        <v>179.24</v>
      </c>
      <c r="E32" s="413">
        <f t="shared" si="0"/>
        <v>333.59000000000003</v>
      </c>
      <c r="F32" s="305">
        <v>6.01</v>
      </c>
      <c r="G32" s="305">
        <v>4.01</v>
      </c>
      <c r="H32" s="413">
        <f t="shared" si="1"/>
        <v>10.02</v>
      </c>
      <c r="I32" s="305">
        <v>161.12</v>
      </c>
      <c r="J32" s="305">
        <v>156.44</v>
      </c>
      <c r="K32" s="413">
        <f t="shared" si="2"/>
        <v>317.56</v>
      </c>
      <c r="L32" s="305">
        <v>102.55</v>
      </c>
      <c r="M32" s="305">
        <v>119.09</v>
      </c>
      <c r="N32" s="305">
        <f t="shared" si="3"/>
        <v>221.64</v>
      </c>
      <c r="O32" s="413">
        <f t="shared" si="8"/>
        <v>64.58</v>
      </c>
      <c r="P32" s="305">
        <f t="shared" si="9"/>
        <v>41.359999999999985</v>
      </c>
      <c r="Q32" s="305">
        <f t="shared" si="10"/>
        <v>105.94</v>
      </c>
      <c r="R32" s="383"/>
      <c r="S32" s="38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</row>
    <row r="33" spans="1:29">
      <c r="A33" s="204">
        <f t="shared" si="7"/>
        <v>21</v>
      </c>
      <c r="B33" s="529" t="s">
        <v>628</v>
      </c>
      <c r="C33" s="305">
        <v>129.22</v>
      </c>
      <c r="D33" s="305">
        <v>150.06</v>
      </c>
      <c r="E33" s="413">
        <f t="shared" si="0"/>
        <v>279.27999999999997</v>
      </c>
      <c r="F33" s="305">
        <v>4.5599999999999996</v>
      </c>
      <c r="G33" s="305">
        <v>3.04</v>
      </c>
      <c r="H33" s="413">
        <f t="shared" si="1"/>
        <v>7.6</v>
      </c>
      <c r="I33" s="305">
        <v>122.12</v>
      </c>
      <c r="J33" s="305">
        <v>118.58</v>
      </c>
      <c r="K33" s="413">
        <f t="shared" si="2"/>
        <v>240.7</v>
      </c>
      <c r="L33" s="305">
        <v>77.73</v>
      </c>
      <c r="M33" s="305">
        <v>90.27</v>
      </c>
      <c r="N33" s="305">
        <f t="shared" si="3"/>
        <v>168</v>
      </c>
      <c r="O33" s="413">
        <f t="shared" si="8"/>
        <v>48.95</v>
      </c>
      <c r="P33" s="305">
        <f t="shared" si="9"/>
        <v>31.350000000000009</v>
      </c>
      <c r="Q33" s="305">
        <f t="shared" si="10"/>
        <v>80.299999999999983</v>
      </c>
      <c r="R33" s="383"/>
      <c r="S33" s="38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</row>
    <row r="34" spans="1:29">
      <c r="A34" s="204">
        <f t="shared" si="7"/>
        <v>22</v>
      </c>
      <c r="B34" s="204" t="s">
        <v>603</v>
      </c>
      <c r="C34" s="305">
        <v>280.61</v>
      </c>
      <c r="D34" s="305">
        <v>325.87</v>
      </c>
      <c r="E34" s="413">
        <f t="shared" si="0"/>
        <v>606.48</v>
      </c>
      <c r="F34" s="305">
        <v>10.53</v>
      </c>
      <c r="G34" s="305">
        <v>7.03</v>
      </c>
      <c r="H34" s="413">
        <f t="shared" si="1"/>
        <v>17.559999999999999</v>
      </c>
      <c r="I34" s="305">
        <v>282.24</v>
      </c>
      <c r="J34" s="305">
        <v>274.05</v>
      </c>
      <c r="K34" s="413">
        <f t="shared" si="2"/>
        <v>556.29</v>
      </c>
      <c r="L34" s="305">
        <v>179.65</v>
      </c>
      <c r="M34" s="305">
        <v>208.63</v>
      </c>
      <c r="N34" s="305">
        <f t="shared" si="3"/>
        <v>388.28</v>
      </c>
      <c r="O34" s="413">
        <f t="shared" si="8"/>
        <v>113.11999999999998</v>
      </c>
      <c r="P34" s="305">
        <f t="shared" si="9"/>
        <v>72.449999999999989</v>
      </c>
      <c r="Q34" s="305">
        <f t="shared" si="10"/>
        <v>185.56999999999994</v>
      </c>
      <c r="R34" s="383"/>
      <c r="S34" s="38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</row>
    <row r="35" spans="1:29">
      <c r="A35" s="204">
        <f t="shared" si="7"/>
        <v>23</v>
      </c>
      <c r="B35" s="204" t="s">
        <v>604</v>
      </c>
      <c r="C35" s="305">
        <v>103.96</v>
      </c>
      <c r="D35" s="305">
        <v>120.73</v>
      </c>
      <c r="E35" s="413">
        <f t="shared" si="0"/>
        <v>224.69</v>
      </c>
      <c r="F35" s="305">
        <v>3.64</v>
      </c>
      <c r="G35" s="305">
        <v>2.4300000000000002</v>
      </c>
      <c r="H35" s="413">
        <f t="shared" si="1"/>
        <v>6.07</v>
      </c>
      <c r="I35" s="305">
        <v>97.65</v>
      </c>
      <c r="J35" s="305">
        <v>94.81</v>
      </c>
      <c r="K35" s="413">
        <f t="shared" si="2"/>
        <v>192.46</v>
      </c>
      <c r="L35" s="305">
        <v>62.15</v>
      </c>
      <c r="M35" s="305">
        <v>72.180000000000007</v>
      </c>
      <c r="N35" s="305">
        <f t="shared" si="3"/>
        <v>134.33000000000001</v>
      </c>
      <c r="O35" s="413">
        <f t="shared" si="8"/>
        <v>39.140000000000008</v>
      </c>
      <c r="P35" s="305">
        <f t="shared" si="9"/>
        <v>25.060000000000002</v>
      </c>
      <c r="Q35" s="305">
        <f t="shared" si="10"/>
        <v>64.199999999999989</v>
      </c>
      <c r="R35" s="383"/>
      <c r="S35" s="38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</row>
    <row r="36" spans="1:29">
      <c r="A36" s="204">
        <f t="shared" si="7"/>
        <v>24</v>
      </c>
      <c r="B36" s="204" t="s">
        <v>605</v>
      </c>
      <c r="C36" s="305">
        <v>89.87</v>
      </c>
      <c r="D36" s="305">
        <v>104.36</v>
      </c>
      <c r="E36" s="413">
        <f t="shared" si="0"/>
        <v>194.23000000000002</v>
      </c>
      <c r="F36" s="305">
        <v>3.35</v>
      </c>
      <c r="G36" s="305">
        <v>2.2400000000000002</v>
      </c>
      <c r="H36" s="305">
        <f t="shared" si="1"/>
        <v>5.59</v>
      </c>
      <c r="I36" s="305">
        <v>89.75</v>
      </c>
      <c r="J36" s="305">
        <v>87.15</v>
      </c>
      <c r="K36" s="305">
        <f t="shared" si="2"/>
        <v>176.9</v>
      </c>
      <c r="L36" s="305">
        <v>57.13</v>
      </c>
      <c r="M36" s="305">
        <v>66.34</v>
      </c>
      <c r="N36" s="305">
        <f t="shared" si="3"/>
        <v>123.47</v>
      </c>
      <c r="O36" s="413">
        <f t="shared" si="8"/>
        <v>35.969999999999992</v>
      </c>
      <c r="P36" s="305">
        <f t="shared" si="9"/>
        <v>23.049999999999997</v>
      </c>
      <c r="Q36" s="305">
        <f t="shared" si="10"/>
        <v>59.02000000000001</v>
      </c>
      <c r="R36" s="383"/>
      <c r="S36" s="38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</row>
    <row r="37" spans="1:29">
      <c r="A37" s="204">
        <f t="shared" si="7"/>
        <v>25</v>
      </c>
      <c r="B37" s="204" t="s">
        <v>606</v>
      </c>
      <c r="C37" s="305">
        <v>410.37</v>
      </c>
      <c r="D37" s="305">
        <v>476.56</v>
      </c>
      <c r="E37" s="305">
        <f t="shared" si="0"/>
        <v>886.93000000000006</v>
      </c>
      <c r="F37" s="305">
        <v>14.81</v>
      </c>
      <c r="G37" s="305">
        <v>9.89</v>
      </c>
      <c r="H37" s="305">
        <f t="shared" si="1"/>
        <v>24.700000000000003</v>
      </c>
      <c r="I37" s="305">
        <v>396.97</v>
      </c>
      <c r="J37" s="305">
        <v>385.46</v>
      </c>
      <c r="K37" s="305">
        <f t="shared" si="2"/>
        <v>782.43000000000006</v>
      </c>
      <c r="L37" s="305">
        <v>252.68</v>
      </c>
      <c r="M37" s="305">
        <v>293.43</v>
      </c>
      <c r="N37" s="305">
        <f t="shared" si="3"/>
        <v>546.11</v>
      </c>
      <c r="O37" s="413">
        <f t="shared" si="8"/>
        <v>159.10000000000002</v>
      </c>
      <c r="P37" s="305">
        <f t="shared" si="9"/>
        <v>101.91999999999996</v>
      </c>
      <c r="Q37" s="305">
        <f t="shared" si="10"/>
        <v>261.0200000000001</v>
      </c>
      <c r="R37" s="383"/>
      <c r="S37" s="38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</row>
    <row r="38" spans="1:29">
      <c r="A38" s="204">
        <f t="shared" si="7"/>
        <v>26</v>
      </c>
      <c r="B38" s="204" t="s">
        <v>607</v>
      </c>
      <c r="C38" s="305">
        <v>305.38</v>
      </c>
      <c r="D38" s="305">
        <v>354.64</v>
      </c>
      <c r="E38" s="305">
        <f t="shared" si="0"/>
        <v>660.02</v>
      </c>
      <c r="F38" s="305">
        <v>11.56</v>
      </c>
      <c r="G38" s="305">
        <v>7.72</v>
      </c>
      <c r="H38" s="305">
        <f t="shared" si="1"/>
        <v>19.28</v>
      </c>
      <c r="I38" s="305">
        <v>309.83</v>
      </c>
      <c r="J38" s="305">
        <v>300.83999999999997</v>
      </c>
      <c r="K38" s="305">
        <f t="shared" si="2"/>
        <v>610.66999999999996</v>
      </c>
      <c r="L38" s="305">
        <v>197.21</v>
      </c>
      <c r="M38" s="305">
        <v>229.02</v>
      </c>
      <c r="N38" s="305">
        <f t="shared" si="3"/>
        <v>426.23</v>
      </c>
      <c r="O38" s="413">
        <f t="shared" si="8"/>
        <v>124.17999999999998</v>
      </c>
      <c r="P38" s="305">
        <f t="shared" si="9"/>
        <v>79.539999999999992</v>
      </c>
      <c r="Q38" s="305">
        <f t="shared" si="10"/>
        <v>203.71999999999991</v>
      </c>
      <c r="R38" s="383"/>
      <c r="S38" s="38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</row>
    <row r="39" spans="1:29">
      <c r="A39" s="204">
        <f t="shared" si="7"/>
        <v>27</v>
      </c>
      <c r="B39" s="204" t="s">
        <v>608</v>
      </c>
      <c r="C39" s="305">
        <v>229.51</v>
      </c>
      <c r="D39" s="305">
        <v>266.52</v>
      </c>
      <c r="E39" s="305">
        <f t="shared" si="0"/>
        <v>496.03</v>
      </c>
      <c r="F39" s="305">
        <v>8.83</v>
      </c>
      <c r="G39" s="305">
        <v>5.9</v>
      </c>
      <c r="H39" s="305">
        <f t="shared" si="1"/>
        <v>14.73</v>
      </c>
      <c r="I39" s="305">
        <v>236.68</v>
      </c>
      <c r="J39" s="305">
        <v>229.81</v>
      </c>
      <c r="K39" s="305">
        <f t="shared" si="2"/>
        <v>466.49</v>
      </c>
      <c r="L39" s="305">
        <v>150.65</v>
      </c>
      <c r="M39" s="305">
        <v>174.94</v>
      </c>
      <c r="N39" s="305">
        <f t="shared" si="3"/>
        <v>325.59000000000003</v>
      </c>
      <c r="O39" s="305">
        <f t="shared" si="4"/>
        <v>94.860000000000014</v>
      </c>
      <c r="P39" s="305">
        <f t="shared" si="5"/>
        <v>60.77000000000001</v>
      </c>
      <c r="Q39" s="305">
        <f t="shared" si="6"/>
        <v>155.63</v>
      </c>
      <c r="R39" s="383"/>
      <c r="S39" s="38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</row>
    <row r="40" spans="1:29">
      <c r="A40" s="204">
        <f t="shared" si="7"/>
        <v>28</v>
      </c>
      <c r="B40" s="204" t="s">
        <v>609</v>
      </c>
      <c r="C40" s="305">
        <v>164.16</v>
      </c>
      <c r="D40" s="305">
        <v>190.64</v>
      </c>
      <c r="E40" s="305">
        <f t="shared" si="0"/>
        <v>354.79999999999995</v>
      </c>
      <c r="F40" s="305">
        <v>5.66</v>
      </c>
      <c r="G40" s="305">
        <v>3.78</v>
      </c>
      <c r="H40" s="305">
        <f t="shared" si="1"/>
        <v>9.44</v>
      </c>
      <c r="I40" s="305">
        <v>151.81</v>
      </c>
      <c r="J40" s="305">
        <v>147.41</v>
      </c>
      <c r="K40" s="305">
        <f t="shared" si="2"/>
        <v>299.22000000000003</v>
      </c>
      <c r="L40" s="305">
        <v>96.63</v>
      </c>
      <c r="M40" s="305">
        <v>112.22</v>
      </c>
      <c r="N40" s="305">
        <f t="shared" si="3"/>
        <v>208.85</v>
      </c>
      <c r="O40" s="305">
        <f t="shared" si="4"/>
        <v>60.84</v>
      </c>
      <c r="P40" s="305">
        <f t="shared" si="5"/>
        <v>38.97</v>
      </c>
      <c r="Q40" s="305">
        <f t="shared" si="6"/>
        <v>99.810000000000031</v>
      </c>
      <c r="R40" s="383"/>
      <c r="S40" s="38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</row>
    <row r="41" spans="1:29">
      <c r="A41" s="204">
        <f t="shared" si="7"/>
        <v>29</v>
      </c>
      <c r="B41" s="204" t="s">
        <v>610</v>
      </c>
      <c r="C41" s="305">
        <v>248.39</v>
      </c>
      <c r="D41" s="305">
        <v>288.45</v>
      </c>
      <c r="E41" s="305">
        <f t="shared" si="0"/>
        <v>536.83999999999992</v>
      </c>
      <c r="F41" s="305">
        <v>8.93</v>
      </c>
      <c r="G41" s="305">
        <v>5.96</v>
      </c>
      <c r="H41" s="305">
        <f t="shared" si="1"/>
        <v>14.89</v>
      </c>
      <c r="I41" s="305">
        <v>239.34</v>
      </c>
      <c r="J41" s="305">
        <v>232.39</v>
      </c>
      <c r="K41" s="305">
        <f t="shared" si="2"/>
        <v>471.73</v>
      </c>
      <c r="L41" s="305">
        <v>152.34</v>
      </c>
      <c r="M41" s="305">
        <v>176.91</v>
      </c>
      <c r="N41" s="305">
        <f t="shared" si="3"/>
        <v>329.25</v>
      </c>
      <c r="O41" s="305">
        <f t="shared" si="4"/>
        <v>95.93</v>
      </c>
      <c r="P41" s="305">
        <f t="shared" si="5"/>
        <v>61.44</v>
      </c>
      <c r="Q41" s="305">
        <f t="shared" si="6"/>
        <v>157.37</v>
      </c>
      <c r="R41" s="383"/>
      <c r="S41" s="38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</row>
    <row r="42" spans="1:29">
      <c r="A42" s="204">
        <f t="shared" si="7"/>
        <v>30</v>
      </c>
      <c r="B42" s="502" t="s">
        <v>611</v>
      </c>
      <c r="C42" s="305">
        <v>127.98</v>
      </c>
      <c r="D42" s="305">
        <v>148.62</v>
      </c>
      <c r="E42" s="305">
        <f t="shared" si="0"/>
        <v>276.60000000000002</v>
      </c>
      <c r="F42" s="305">
        <v>4.45</v>
      </c>
      <c r="G42" s="305">
        <v>2.97</v>
      </c>
      <c r="H42" s="305">
        <f t="shared" si="1"/>
        <v>7.42</v>
      </c>
      <c r="I42" s="305">
        <v>119.21</v>
      </c>
      <c r="J42" s="305">
        <v>115.75</v>
      </c>
      <c r="K42" s="305">
        <f t="shared" si="2"/>
        <v>234.95999999999998</v>
      </c>
      <c r="L42" s="305">
        <v>75.88</v>
      </c>
      <c r="M42" s="305">
        <v>88.12</v>
      </c>
      <c r="N42" s="305">
        <f t="shared" si="3"/>
        <v>164</v>
      </c>
      <c r="O42" s="305">
        <f t="shared" si="4"/>
        <v>47.78</v>
      </c>
      <c r="P42" s="305">
        <f t="shared" si="5"/>
        <v>30.599999999999994</v>
      </c>
      <c r="Q42" s="305">
        <f t="shared" si="6"/>
        <v>78.379999999999967</v>
      </c>
      <c r="R42" s="383"/>
      <c r="S42" s="38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</row>
    <row r="43" spans="1:29">
      <c r="A43" s="204">
        <f t="shared" si="7"/>
        <v>31</v>
      </c>
      <c r="B43" s="502" t="s">
        <v>612</v>
      </c>
      <c r="C43" s="305">
        <v>92.65</v>
      </c>
      <c r="D43" s="305">
        <v>107.6</v>
      </c>
      <c r="E43" s="305">
        <f t="shared" si="0"/>
        <v>200.25</v>
      </c>
      <c r="F43" s="305">
        <v>3.41</v>
      </c>
      <c r="G43" s="305">
        <v>2.2799999999999998</v>
      </c>
      <c r="H43" s="305">
        <f t="shared" si="1"/>
        <v>5.6899999999999995</v>
      </c>
      <c r="I43" s="305">
        <v>91.35</v>
      </c>
      <c r="J43" s="305">
        <v>88.7</v>
      </c>
      <c r="K43" s="305">
        <f t="shared" si="2"/>
        <v>180.05</v>
      </c>
      <c r="L43" s="305">
        <v>58.15</v>
      </c>
      <c r="M43" s="305">
        <v>67.53</v>
      </c>
      <c r="N43" s="305">
        <f t="shared" si="3"/>
        <v>125.68</v>
      </c>
      <c r="O43" s="305">
        <f t="shared" si="4"/>
        <v>36.609999999999992</v>
      </c>
      <c r="P43" s="305">
        <f t="shared" si="5"/>
        <v>23.450000000000003</v>
      </c>
      <c r="Q43" s="305">
        <f t="shared" si="6"/>
        <v>60.06</v>
      </c>
      <c r="R43" s="383"/>
      <c r="S43" s="38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</row>
    <row r="44" spans="1:29">
      <c r="A44" s="204">
        <f t="shared" si="7"/>
        <v>32</v>
      </c>
      <c r="B44" s="502" t="s">
        <v>613</v>
      </c>
      <c r="C44" s="305">
        <v>121.69</v>
      </c>
      <c r="D44" s="305">
        <v>141.32</v>
      </c>
      <c r="E44" s="305">
        <f t="shared" si="0"/>
        <v>263.01</v>
      </c>
      <c r="F44" s="305">
        <v>4.47</v>
      </c>
      <c r="G44" s="305">
        <v>2.99</v>
      </c>
      <c r="H44" s="305">
        <f t="shared" si="1"/>
        <v>7.46</v>
      </c>
      <c r="I44" s="305">
        <v>119.9</v>
      </c>
      <c r="J44" s="305">
        <v>116.42</v>
      </c>
      <c r="K44" s="305">
        <f t="shared" si="2"/>
        <v>236.32</v>
      </c>
      <c r="L44" s="305">
        <v>76.319999999999993</v>
      </c>
      <c r="M44" s="305">
        <v>88.63</v>
      </c>
      <c r="N44" s="305">
        <f t="shared" si="3"/>
        <v>164.95</v>
      </c>
      <c r="O44" s="305">
        <f t="shared" si="4"/>
        <v>48.050000000000011</v>
      </c>
      <c r="P44" s="305">
        <f t="shared" si="5"/>
        <v>30.78</v>
      </c>
      <c r="Q44" s="305">
        <f t="shared" si="6"/>
        <v>78.830000000000013</v>
      </c>
      <c r="R44" s="383"/>
      <c r="S44" s="38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</row>
    <row r="45" spans="1:29">
      <c r="A45" s="204">
        <f t="shared" si="7"/>
        <v>33</v>
      </c>
      <c r="B45" s="502" t="s">
        <v>614</v>
      </c>
      <c r="C45" s="305">
        <v>141.88999999999999</v>
      </c>
      <c r="D45" s="305">
        <v>164.77</v>
      </c>
      <c r="E45" s="305">
        <f t="shared" ref="E45" si="11">SUM(C45:D45)</f>
        <v>306.65999999999997</v>
      </c>
      <c r="F45" s="305">
        <v>4.93</v>
      </c>
      <c r="G45" s="305">
        <v>3.3</v>
      </c>
      <c r="H45" s="305">
        <f t="shared" ref="H45" si="12">SUM(F45:G45)</f>
        <v>8.23</v>
      </c>
      <c r="I45" s="305">
        <v>132.28</v>
      </c>
      <c r="J45" s="305">
        <v>128.44</v>
      </c>
      <c r="K45" s="305">
        <f t="shared" ref="K45" si="13">SUM(I45:J45)</f>
        <v>260.72000000000003</v>
      </c>
      <c r="L45" s="305">
        <v>84.2</v>
      </c>
      <c r="M45" s="305">
        <v>97.78</v>
      </c>
      <c r="N45" s="305">
        <f t="shared" ref="N45" si="14">SUM(L45:M45)</f>
        <v>181.98000000000002</v>
      </c>
      <c r="O45" s="305">
        <f t="shared" si="4"/>
        <v>53.010000000000005</v>
      </c>
      <c r="P45" s="305">
        <f t="shared" si="5"/>
        <v>33.960000000000008</v>
      </c>
      <c r="Q45" s="305">
        <f t="shared" si="6"/>
        <v>86.970000000000027</v>
      </c>
      <c r="R45" s="383"/>
      <c r="S45" s="38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</row>
    <row r="46" spans="1:29">
      <c r="A46" s="151"/>
      <c r="B46" s="151" t="s">
        <v>615</v>
      </c>
      <c r="C46" s="289">
        <f>SUM(C13:C45)</f>
        <v>5930.15</v>
      </c>
      <c r="D46" s="289">
        <f t="shared" ref="D46:Q46" si="15">SUM(D13:D45)</f>
        <v>6886.6100000000015</v>
      </c>
      <c r="E46" s="289">
        <f t="shared" si="15"/>
        <v>12816.760000000002</v>
      </c>
      <c r="F46" s="289">
        <f t="shared" si="15"/>
        <v>213.97</v>
      </c>
      <c r="G46" s="289">
        <f t="shared" si="15"/>
        <v>142.91000000000003</v>
      </c>
      <c r="H46" s="289">
        <f t="shared" si="15"/>
        <v>356.88</v>
      </c>
      <c r="I46" s="289">
        <f t="shared" si="15"/>
        <v>5735.59</v>
      </c>
      <c r="J46" s="289">
        <f t="shared" si="15"/>
        <v>5569.17</v>
      </c>
      <c r="K46" s="289">
        <f t="shared" si="15"/>
        <v>11304.759999999997</v>
      </c>
      <c r="L46" s="289">
        <f t="shared" si="15"/>
        <v>3650.7600000000007</v>
      </c>
      <c r="M46" s="289">
        <f t="shared" si="15"/>
        <v>4239.619999999999</v>
      </c>
      <c r="N46" s="289">
        <f>SUM(N13:N45)</f>
        <v>7890.380000000001</v>
      </c>
      <c r="O46" s="289">
        <f t="shared" si="15"/>
        <v>2298.8000000000006</v>
      </c>
      <c r="P46" s="289">
        <f t="shared" si="15"/>
        <v>1472.4599999999998</v>
      </c>
      <c r="Q46" s="289">
        <f t="shared" si="15"/>
        <v>3771.2599999999993</v>
      </c>
      <c r="R46" s="346"/>
      <c r="S46" s="346"/>
      <c r="T46" s="346"/>
      <c r="U46" s="346"/>
      <c r="V46" s="346"/>
    </row>
    <row r="47" spans="1:29">
      <c r="A47" s="3"/>
      <c r="B47" s="18"/>
      <c r="C47" s="18"/>
      <c r="D47" s="1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29" ht="14.25" customHeight="1">
      <c r="A48" s="860" t="s">
        <v>577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</row>
    <row r="49" spans="1:17" s="337" customFormat="1" ht="15.75" customHeight="1">
      <c r="A49" s="335"/>
      <c r="B49" s="336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</row>
    <row r="50" spans="1:17">
      <c r="H50" s="424"/>
      <c r="I50" s="510"/>
    </row>
    <row r="51" spans="1:17" ht="15.75">
      <c r="M51" s="761" t="s">
        <v>908</v>
      </c>
      <c r="N51" s="761"/>
      <c r="O51" s="761"/>
      <c r="P51" s="761"/>
      <c r="Q51" s="761"/>
    </row>
    <row r="52" spans="1:17" ht="15.75">
      <c r="M52" s="761" t="s">
        <v>646</v>
      </c>
      <c r="N52" s="761"/>
      <c r="O52" s="761"/>
      <c r="P52" s="761"/>
      <c r="Q52" s="761"/>
    </row>
  </sheetData>
  <mergeCells count="17">
    <mergeCell ref="M52:Q52"/>
    <mergeCell ref="A6:Q6"/>
    <mergeCell ref="N9:Q9"/>
    <mergeCell ref="A10:A11"/>
    <mergeCell ref="M51:Q51"/>
    <mergeCell ref="B10:B11"/>
    <mergeCell ref="C10:E10"/>
    <mergeCell ref="F10:H10"/>
    <mergeCell ref="A48:Q48"/>
    <mergeCell ref="R1:R10"/>
    <mergeCell ref="I10:K10"/>
    <mergeCell ref="L10:N10"/>
    <mergeCell ref="O10:Q10"/>
    <mergeCell ref="A8:B8"/>
    <mergeCell ref="P1:Q1"/>
    <mergeCell ref="A2:Q2"/>
    <mergeCell ref="A3:Q3"/>
  </mergeCells>
  <phoneticPr fontId="0" type="noConversion"/>
  <printOptions horizontalCentered="1"/>
  <pageMargins left="0.47" right="0.51" top="0.43" bottom="0" header="0.31496062992125984" footer="0.31496062992125984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topLeftCell="A29" zoomScale="77" zoomScaleNormal="70" zoomScaleSheetLayoutView="77" workbookViewId="0">
      <selection activeCell="A50" sqref="A50"/>
    </sheetView>
  </sheetViews>
  <sheetFormatPr defaultRowHeight="12.75"/>
  <cols>
    <col min="1" max="1" width="9.28515625" style="173" bestFit="1" customWidth="1"/>
    <col min="2" max="2" width="22" style="173" customWidth="1"/>
    <col min="3" max="3" width="14.7109375" style="173" customWidth="1"/>
    <col min="4" max="4" width="11.28515625" style="173" customWidth="1"/>
    <col min="5" max="5" width="12.42578125" style="173" customWidth="1"/>
    <col min="6" max="6" width="12" style="173" customWidth="1"/>
    <col min="7" max="7" width="13.140625" style="173" customWidth="1"/>
    <col min="8" max="10" width="9.28515625" style="173" bestFit="1" customWidth="1"/>
    <col min="11" max="11" width="10.140625" style="173" bestFit="1" customWidth="1"/>
    <col min="12" max="13" width="9.85546875" style="173" bestFit="1" customWidth="1"/>
    <col min="14" max="14" width="9.42578125" style="173" bestFit="1" customWidth="1"/>
    <col min="15" max="15" width="9.28515625" style="173" bestFit="1" customWidth="1"/>
    <col min="16" max="16" width="9.85546875" style="173" bestFit="1" customWidth="1"/>
    <col min="17" max="18" width="9.28515625" style="173" bestFit="1" customWidth="1"/>
    <col min="19" max="19" width="9.85546875" style="173" bestFit="1" customWidth="1"/>
    <col min="20" max="20" width="10.42578125" style="173" customWidth="1"/>
    <col min="21" max="21" width="11.140625" style="173" customWidth="1"/>
    <col min="22" max="22" width="11.85546875" style="173" customWidth="1"/>
    <col min="23" max="16384" width="9.140625" style="173"/>
  </cols>
  <sheetData>
    <row r="1" spans="1:25" ht="15">
      <c r="T1" s="862" t="s">
        <v>61</v>
      </c>
      <c r="U1" s="862"/>
      <c r="V1" s="862"/>
    </row>
    <row r="3" spans="1:25" ht="15.75">
      <c r="A3" s="702" t="s">
        <v>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</row>
    <row r="4" spans="1:25" ht="20.25">
      <c r="A4" s="763" t="s">
        <v>737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</row>
    <row r="5" spans="1:25" ht="15.75">
      <c r="A5" s="863" t="s">
        <v>660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</row>
    <row r="6" spans="1:25">
      <c r="A6" s="21"/>
      <c r="B6" s="21"/>
      <c r="C6" s="7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U6" s="21"/>
    </row>
    <row r="8" spans="1:25" ht="15.75">
      <c r="A8" s="704" t="s">
        <v>743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</row>
    <row r="9" spans="1:25" ht="15.75">
      <c r="A9" s="15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864"/>
      <c r="Q9" s="864"/>
      <c r="R9" s="864"/>
      <c r="S9" s="864"/>
      <c r="U9" s="156"/>
      <c r="V9" s="5" t="s">
        <v>650</v>
      </c>
    </row>
    <row r="10" spans="1:25">
      <c r="T10" s="76" t="s">
        <v>774</v>
      </c>
      <c r="U10" s="55"/>
      <c r="V10" s="55"/>
      <c r="W10" s="55"/>
    </row>
    <row r="11" spans="1:25" ht="28.5" customHeight="1">
      <c r="A11" s="866" t="s">
        <v>20</v>
      </c>
      <c r="B11" s="795" t="s">
        <v>199</v>
      </c>
      <c r="C11" s="795" t="s">
        <v>359</v>
      </c>
      <c r="D11" s="795" t="s">
        <v>468</v>
      </c>
      <c r="E11" s="701" t="s">
        <v>742</v>
      </c>
      <c r="F11" s="701"/>
      <c r="G11" s="701"/>
      <c r="H11" s="677" t="s">
        <v>769</v>
      </c>
      <c r="I11" s="678"/>
      <c r="J11" s="679"/>
      <c r="K11" s="854" t="s">
        <v>361</v>
      </c>
      <c r="L11" s="855"/>
      <c r="M11" s="856"/>
      <c r="N11" s="806" t="s">
        <v>152</v>
      </c>
      <c r="O11" s="865"/>
      <c r="P11" s="800"/>
      <c r="Q11" s="668" t="s">
        <v>779</v>
      </c>
      <c r="R11" s="668"/>
      <c r="S11" s="668"/>
      <c r="T11" s="668" t="s">
        <v>242</v>
      </c>
      <c r="U11" s="668" t="s">
        <v>414</v>
      </c>
      <c r="V11" s="668" t="s">
        <v>362</v>
      </c>
    </row>
    <row r="12" spans="1:25" ht="65.25" customHeight="1">
      <c r="A12" s="867"/>
      <c r="B12" s="796"/>
      <c r="C12" s="796"/>
      <c r="D12" s="796"/>
      <c r="E12" s="150" t="s">
        <v>172</v>
      </c>
      <c r="F12" s="150" t="s">
        <v>200</v>
      </c>
      <c r="G12" s="150" t="s">
        <v>16</v>
      </c>
      <c r="H12" s="150" t="s">
        <v>172</v>
      </c>
      <c r="I12" s="150" t="s">
        <v>200</v>
      </c>
      <c r="J12" s="150" t="s">
        <v>16</v>
      </c>
      <c r="K12" s="150" t="s">
        <v>172</v>
      </c>
      <c r="L12" s="150" t="s">
        <v>200</v>
      </c>
      <c r="M12" s="150" t="s">
        <v>16</v>
      </c>
      <c r="N12" s="150" t="s">
        <v>172</v>
      </c>
      <c r="O12" s="150" t="s">
        <v>200</v>
      </c>
      <c r="P12" s="150" t="s">
        <v>16</v>
      </c>
      <c r="Q12" s="150" t="s">
        <v>229</v>
      </c>
      <c r="R12" s="150" t="s">
        <v>211</v>
      </c>
      <c r="S12" s="150" t="s">
        <v>212</v>
      </c>
      <c r="T12" s="668"/>
      <c r="U12" s="668"/>
      <c r="V12" s="668"/>
    </row>
    <row r="13" spans="1:25">
      <c r="A13" s="75">
        <v>1</v>
      </c>
      <c r="B13" s="48">
        <v>2</v>
      </c>
      <c r="C13" s="143">
        <v>3</v>
      </c>
      <c r="D13" s="48">
        <v>4</v>
      </c>
      <c r="E13" s="48">
        <v>5</v>
      </c>
      <c r="F13" s="143">
        <v>6</v>
      </c>
      <c r="G13" s="48">
        <v>7</v>
      </c>
      <c r="H13" s="48">
        <v>8</v>
      </c>
      <c r="I13" s="143">
        <v>9</v>
      </c>
      <c r="J13" s="48">
        <v>10</v>
      </c>
      <c r="K13" s="48">
        <v>11</v>
      </c>
      <c r="L13" s="143">
        <v>12</v>
      </c>
      <c r="M13" s="48">
        <v>13</v>
      </c>
      <c r="N13" s="48">
        <v>14</v>
      </c>
      <c r="O13" s="143">
        <v>15</v>
      </c>
      <c r="P13" s="48">
        <v>16</v>
      </c>
      <c r="Q13" s="48">
        <v>17</v>
      </c>
      <c r="R13" s="143">
        <v>18</v>
      </c>
      <c r="S13" s="48">
        <v>19</v>
      </c>
      <c r="T13" s="48">
        <v>20</v>
      </c>
      <c r="U13" s="143">
        <v>21</v>
      </c>
      <c r="V13" s="48">
        <v>22</v>
      </c>
    </row>
    <row r="14" spans="1:25">
      <c r="A14" s="204">
        <v>1</v>
      </c>
      <c r="B14" s="204" t="s">
        <v>624</v>
      </c>
      <c r="C14" s="312">
        <v>1224</v>
      </c>
      <c r="D14" s="314">
        <v>1221</v>
      </c>
      <c r="E14" s="311">
        <v>73.44</v>
      </c>
      <c r="F14" s="269">
        <v>48.96</v>
      </c>
      <c r="G14" s="311">
        <f>SUM(E14:F14)</f>
        <v>122.4</v>
      </c>
      <c r="H14" s="311">
        <v>0</v>
      </c>
      <c r="I14" s="311">
        <v>0</v>
      </c>
      <c r="J14" s="311">
        <f>SUM(H14:I14)</f>
        <v>0</v>
      </c>
      <c r="K14" s="311">
        <v>73.44</v>
      </c>
      <c r="L14" s="269">
        <v>48.96</v>
      </c>
      <c r="M14" s="311">
        <f>SUM(K14:L14)</f>
        <v>122.4</v>
      </c>
      <c r="N14" s="523">
        <v>51.28</v>
      </c>
      <c r="O14" s="524">
        <v>34.19</v>
      </c>
      <c r="P14" s="523">
        <f>SUM(N14:O14)</f>
        <v>85.47</v>
      </c>
      <c r="Q14" s="311">
        <f>H14+K14-N14</f>
        <v>22.159999999999997</v>
      </c>
      <c r="R14" s="311">
        <f>I14+L14-O14</f>
        <v>14.770000000000003</v>
      </c>
      <c r="S14" s="311">
        <f>J14+M14-P14</f>
        <v>36.930000000000007</v>
      </c>
      <c r="T14" s="311" t="s">
        <v>652</v>
      </c>
      <c r="U14" s="312">
        <f>D14</f>
        <v>1221</v>
      </c>
      <c r="V14" s="312">
        <f>U14</f>
        <v>1221</v>
      </c>
      <c r="X14" s="363"/>
      <c r="Y14" s="363"/>
    </row>
    <row r="15" spans="1:25">
      <c r="A15" s="204">
        <f>A14+1</f>
        <v>2</v>
      </c>
      <c r="B15" s="204" t="s">
        <v>589</v>
      </c>
      <c r="C15" s="312">
        <v>1639</v>
      </c>
      <c r="D15" s="314">
        <v>1635</v>
      </c>
      <c r="E15" s="311">
        <v>98.34</v>
      </c>
      <c r="F15" s="269">
        <v>65.56</v>
      </c>
      <c r="G15" s="311">
        <f t="shared" ref="G15:G46" si="0">SUM(E15:F15)</f>
        <v>163.9</v>
      </c>
      <c r="H15" s="311">
        <v>0</v>
      </c>
      <c r="I15" s="311">
        <v>0</v>
      </c>
      <c r="J15" s="311">
        <f t="shared" ref="J15:J46" si="1">SUM(H15:I15)</f>
        <v>0</v>
      </c>
      <c r="K15" s="311">
        <v>98.34</v>
      </c>
      <c r="L15" s="269">
        <v>65.56</v>
      </c>
      <c r="M15" s="311">
        <f t="shared" ref="M15:M40" si="2">SUM(K15:L15)</f>
        <v>163.9</v>
      </c>
      <c r="N15" s="523">
        <v>68.67</v>
      </c>
      <c r="O15" s="524">
        <v>45.78</v>
      </c>
      <c r="P15" s="523">
        <f t="shared" ref="P15:P46" si="3">SUM(N15:O15)</f>
        <v>114.45</v>
      </c>
      <c r="Q15" s="311">
        <f t="shared" ref="Q15:Q46" si="4">H15+K15-N15</f>
        <v>29.67</v>
      </c>
      <c r="R15" s="311">
        <f t="shared" ref="R15:R46" si="5">I15+L15-O15</f>
        <v>19.78</v>
      </c>
      <c r="S15" s="311">
        <f t="shared" ref="S15:S40" si="6">J15+M15-P15</f>
        <v>49.45</v>
      </c>
      <c r="T15" s="311" t="s">
        <v>652</v>
      </c>
      <c r="U15" s="312">
        <f t="shared" ref="U15:U37" si="7">D15</f>
        <v>1635</v>
      </c>
      <c r="V15" s="312">
        <f t="shared" ref="V15:V46" si="8">U15</f>
        <v>1635</v>
      </c>
      <c r="X15" s="363"/>
      <c r="Y15" s="363"/>
    </row>
    <row r="16" spans="1:25">
      <c r="A16" s="204">
        <f t="shared" ref="A16:A46" si="9">A15+1</f>
        <v>3</v>
      </c>
      <c r="B16" s="204" t="s">
        <v>625</v>
      </c>
      <c r="C16" s="312">
        <v>876</v>
      </c>
      <c r="D16" s="314">
        <v>876</v>
      </c>
      <c r="E16" s="311">
        <v>52.56</v>
      </c>
      <c r="F16" s="269">
        <v>35.04</v>
      </c>
      <c r="G16" s="311">
        <f t="shared" si="0"/>
        <v>87.6</v>
      </c>
      <c r="H16" s="311">
        <v>0</v>
      </c>
      <c r="I16" s="311">
        <v>0</v>
      </c>
      <c r="J16" s="311">
        <f t="shared" si="1"/>
        <v>0</v>
      </c>
      <c r="K16" s="311">
        <v>52.56</v>
      </c>
      <c r="L16" s="269">
        <v>35.04</v>
      </c>
      <c r="M16" s="311">
        <f t="shared" si="2"/>
        <v>87.6</v>
      </c>
      <c r="N16" s="523">
        <v>36.79</v>
      </c>
      <c r="O16" s="524">
        <v>24.53</v>
      </c>
      <c r="P16" s="523">
        <f t="shared" si="3"/>
        <v>61.32</v>
      </c>
      <c r="Q16" s="311">
        <f t="shared" si="4"/>
        <v>15.770000000000003</v>
      </c>
      <c r="R16" s="311">
        <f t="shared" si="5"/>
        <v>10.509999999999998</v>
      </c>
      <c r="S16" s="311">
        <f t="shared" si="6"/>
        <v>26.279999999999994</v>
      </c>
      <c r="T16" s="311" t="s">
        <v>652</v>
      </c>
      <c r="U16" s="312">
        <f t="shared" si="7"/>
        <v>876</v>
      </c>
      <c r="V16" s="312">
        <f t="shared" si="8"/>
        <v>876</v>
      </c>
      <c r="X16" s="363"/>
      <c r="Y16" s="363"/>
    </row>
    <row r="17" spans="1:25">
      <c r="A17" s="204">
        <f t="shared" si="9"/>
        <v>4</v>
      </c>
      <c r="B17" s="204" t="s">
        <v>590</v>
      </c>
      <c r="C17" s="312">
        <v>798</v>
      </c>
      <c r="D17" s="314">
        <v>796</v>
      </c>
      <c r="E17" s="311">
        <v>47.88</v>
      </c>
      <c r="F17" s="269">
        <v>31.92</v>
      </c>
      <c r="G17" s="311">
        <f t="shared" si="0"/>
        <v>79.800000000000011</v>
      </c>
      <c r="H17" s="311">
        <v>0</v>
      </c>
      <c r="I17" s="311">
        <v>0</v>
      </c>
      <c r="J17" s="311">
        <f t="shared" si="1"/>
        <v>0</v>
      </c>
      <c r="K17" s="311">
        <v>47.88</v>
      </c>
      <c r="L17" s="269">
        <v>31.92</v>
      </c>
      <c r="M17" s="311">
        <f t="shared" si="2"/>
        <v>79.800000000000011</v>
      </c>
      <c r="N17" s="523">
        <v>33.43</v>
      </c>
      <c r="O17" s="524">
        <v>22.29</v>
      </c>
      <c r="P17" s="523">
        <f t="shared" si="3"/>
        <v>55.72</v>
      </c>
      <c r="Q17" s="311">
        <f t="shared" si="4"/>
        <v>14.450000000000003</v>
      </c>
      <c r="R17" s="311">
        <f t="shared" si="5"/>
        <v>9.6300000000000026</v>
      </c>
      <c r="S17" s="311">
        <f t="shared" si="6"/>
        <v>24.080000000000013</v>
      </c>
      <c r="T17" s="311" t="s">
        <v>652</v>
      </c>
      <c r="U17" s="312">
        <f t="shared" si="7"/>
        <v>796</v>
      </c>
      <c r="V17" s="312">
        <f t="shared" si="8"/>
        <v>796</v>
      </c>
      <c r="X17" s="363"/>
      <c r="Y17" s="363"/>
    </row>
    <row r="18" spans="1:25">
      <c r="A18" s="204">
        <f t="shared" si="9"/>
        <v>5</v>
      </c>
      <c r="B18" s="204" t="s">
        <v>591</v>
      </c>
      <c r="C18" s="312">
        <v>600</v>
      </c>
      <c r="D18" s="314">
        <v>600</v>
      </c>
      <c r="E18" s="311">
        <v>36</v>
      </c>
      <c r="F18" s="269">
        <v>24</v>
      </c>
      <c r="G18" s="311">
        <f t="shared" si="0"/>
        <v>60</v>
      </c>
      <c r="H18" s="311">
        <v>0</v>
      </c>
      <c r="I18" s="311">
        <v>0</v>
      </c>
      <c r="J18" s="311">
        <f t="shared" si="1"/>
        <v>0</v>
      </c>
      <c r="K18" s="311">
        <v>36</v>
      </c>
      <c r="L18" s="269">
        <v>24</v>
      </c>
      <c r="M18" s="311">
        <f t="shared" si="2"/>
        <v>60</v>
      </c>
      <c r="N18" s="523">
        <v>25.2</v>
      </c>
      <c r="O18" s="524">
        <v>16.8</v>
      </c>
      <c r="P18" s="523">
        <f t="shared" si="3"/>
        <v>42</v>
      </c>
      <c r="Q18" s="311">
        <f t="shared" si="4"/>
        <v>10.8</v>
      </c>
      <c r="R18" s="311">
        <f t="shared" si="5"/>
        <v>7.1999999999999993</v>
      </c>
      <c r="S18" s="311">
        <f t="shared" si="6"/>
        <v>18</v>
      </c>
      <c r="T18" s="311" t="s">
        <v>652</v>
      </c>
      <c r="U18" s="312">
        <f t="shared" si="7"/>
        <v>600</v>
      </c>
      <c r="V18" s="312">
        <f t="shared" si="8"/>
        <v>600</v>
      </c>
      <c r="X18" s="363"/>
      <c r="Y18" s="363"/>
    </row>
    <row r="19" spans="1:25">
      <c r="A19" s="204">
        <f t="shared" si="9"/>
        <v>6</v>
      </c>
      <c r="B19" s="204" t="s">
        <v>592</v>
      </c>
      <c r="C19" s="312">
        <v>426</v>
      </c>
      <c r="D19" s="314">
        <v>426</v>
      </c>
      <c r="E19" s="311">
        <v>25.56</v>
      </c>
      <c r="F19" s="269">
        <v>17.04</v>
      </c>
      <c r="G19" s="311">
        <f t="shared" si="0"/>
        <v>42.599999999999994</v>
      </c>
      <c r="H19" s="311">
        <v>0</v>
      </c>
      <c r="I19" s="311">
        <v>0</v>
      </c>
      <c r="J19" s="311">
        <f t="shared" si="1"/>
        <v>0</v>
      </c>
      <c r="K19" s="311">
        <v>25.56</v>
      </c>
      <c r="L19" s="269">
        <v>17.04</v>
      </c>
      <c r="M19" s="311">
        <f t="shared" si="2"/>
        <v>42.599999999999994</v>
      </c>
      <c r="N19" s="523">
        <v>17.89</v>
      </c>
      <c r="O19" s="524">
        <v>11.93</v>
      </c>
      <c r="P19" s="523">
        <f t="shared" si="3"/>
        <v>29.82</v>
      </c>
      <c r="Q19" s="311">
        <f t="shared" si="4"/>
        <v>7.6699999999999982</v>
      </c>
      <c r="R19" s="311">
        <f t="shared" si="5"/>
        <v>5.1099999999999994</v>
      </c>
      <c r="S19" s="311">
        <f t="shared" si="6"/>
        <v>12.779999999999994</v>
      </c>
      <c r="T19" s="311" t="s">
        <v>652</v>
      </c>
      <c r="U19" s="312">
        <f t="shared" si="7"/>
        <v>426</v>
      </c>
      <c r="V19" s="312">
        <f t="shared" si="8"/>
        <v>426</v>
      </c>
      <c r="X19" s="363"/>
      <c r="Y19" s="363"/>
    </row>
    <row r="20" spans="1:25">
      <c r="A20" s="204">
        <f t="shared" si="9"/>
        <v>7</v>
      </c>
      <c r="B20" s="204" t="s">
        <v>593</v>
      </c>
      <c r="C20" s="312">
        <v>802</v>
      </c>
      <c r="D20" s="314">
        <v>802</v>
      </c>
      <c r="E20" s="311">
        <v>48.12</v>
      </c>
      <c r="F20" s="269">
        <v>32.08</v>
      </c>
      <c r="G20" s="311">
        <f t="shared" si="0"/>
        <v>80.199999999999989</v>
      </c>
      <c r="H20" s="311">
        <v>0</v>
      </c>
      <c r="I20" s="311">
        <v>0</v>
      </c>
      <c r="J20" s="311">
        <f t="shared" si="1"/>
        <v>0</v>
      </c>
      <c r="K20" s="311">
        <v>48.12</v>
      </c>
      <c r="L20" s="269">
        <v>32.08</v>
      </c>
      <c r="M20" s="311">
        <f t="shared" si="2"/>
        <v>80.199999999999989</v>
      </c>
      <c r="N20" s="523">
        <v>33.68</v>
      </c>
      <c r="O20" s="524">
        <v>22.46</v>
      </c>
      <c r="P20" s="523">
        <f t="shared" si="3"/>
        <v>56.14</v>
      </c>
      <c r="Q20" s="311">
        <f t="shared" ref="Q20:Q36" si="10">H20+K20-N20</f>
        <v>14.439999999999998</v>
      </c>
      <c r="R20" s="311">
        <f t="shared" ref="R20:R36" si="11">I20+L20-O20</f>
        <v>9.6199999999999974</v>
      </c>
      <c r="S20" s="311">
        <f t="shared" si="6"/>
        <v>24.059999999999988</v>
      </c>
      <c r="T20" s="311" t="s">
        <v>652</v>
      </c>
      <c r="U20" s="312">
        <f t="shared" si="7"/>
        <v>802</v>
      </c>
      <c r="V20" s="312">
        <f t="shared" si="8"/>
        <v>802</v>
      </c>
      <c r="X20" s="363"/>
      <c r="Y20" s="363"/>
    </row>
    <row r="21" spans="1:25">
      <c r="A21" s="204">
        <f t="shared" si="9"/>
        <v>8</v>
      </c>
      <c r="B21" s="204" t="s">
        <v>594</v>
      </c>
      <c r="C21" s="312">
        <v>1101</v>
      </c>
      <c r="D21" s="314">
        <v>1101</v>
      </c>
      <c r="E21" s="311">
        <v>66.06</v>
      </c>
      <c r="F21" s="269">
        <v>44.04</v>
      </c>
      <c r="G21" s="311">
        <f t="shared" si="0"/>
        <v>110.1</v>
      </c>
      <c r="H21" s="311">
        <v>0</v>
      </c>
      <c r="I21" s="311">
        <v>0</v>
      </c>
      <c r="J21" s="311">
        <f t="shared" si="1"/>
        <v>0</v>
      </c>
      <c r="K21" s="311">
        <v>66.06</v>
      </c>
      <c r="L21" s="269">
        <v>44.04</v>
      </c>
      <c r="M21" s="311">
        <f t="shared" si="2"/>
        <v>110.1</v>
      </c>
      <c r="N21" s="523">
        <v>46.24</v>
      </c>
      <c r="O21" s="524">
        <v>30.83</v>
      </c>
      <c r="P21" s="523">
        <f t="shared" si="3"/>
        <v>77.069999999999993</v>
      </c>
      <c r="Q21" s="311">
        <f t="shared" si="10"/>
        <v>19.82</v>
      </c>
      <c r="R21" s="311">
        <f t="shared" si="11"/>
        <v>13.21</v>
      </c>
      <c r="S21" s="311">
        <f t="shared" si="6"/>
        <v>33.03</v>
      </c>
      <c r="T21" s="311" t="s">
        <v>652</v>
      </c>
      <c r="U21" s="312">
        <f t="shared" si="7"/>
        <v>1101</v>
      </c>
      <c r="V21" s="312">
        <f t="shared" si="8"/>
        <v>1101</v>
      </c>
      <c r="X21" s="363"/>
      <c r="Y21" s="363"/>
    </row>
    <row r="22" spans="1:25">
      <c r="A22" s="204">
        <f t="shared" si="9"/>
        <v>9</v>
      </c>
      <c r="B22" s="204" t="s">
        <v>595</v>
      </c>
      <c r="C22" s="312">
        <v>578</v>
      </c>
      <c r="D22" s="314">
        <v>578</v>
      </c>
      <c r="E22" s="311">
        <v>34.68</v>
      </c>
      <c r="F22" s="269">
        <v>23.12</v>
      </c>
      <c r="G22" s="311">
        <f t="shared" si="0"/>
        <v>57.8</v>
      </c>
      <c r="H22" s="311">
        <v>0</v>
      </c>
      <c r="I22" s="311">
        <v>0</v>
      </c>
      <c r="J22" s="311">
        <f t="shared" si="1"/>
        <v>0</v>
      </c>
      <c r="K22" s="311">
        <v>34.68</v>
      </c>
      <c r="L22" s="269">
        <v>23.12</v>
      </c>
      <c r="M22" s="311">
        <f t="shared" si="2"/>
        <v>57.8</v>
      </c>
      <c r="N22" s="523">
        <v>24.28</v>
      </c>
      <c r="O22" s="524">
        <v>16.18</v>
      </c>
      <c r="P22" s="523">
        <f t="shared" si="3"/>
        <v>40.46</v>
      </c>
      <c r="Q22" s="311">
        <f t="shared" si="10"/>
        <v>10.399999999999999</v>
      </c>
      <c r="R22" s="311">
        <f t="shared" si="11"/>
        <v>6.9400000000000013</v>
      </c>
      <c r="S22" s="311">
        <f t="shared" si="6"/>
        <v>17.339999999999996</v>
      </c>
      <c r="T22" s="311" t="s">
        <v>652</v>
      </c>
      <c r="U22" s="312">
        <f t="shared" si="7"/>
        <v>578</v>
      </c>
      <c r="V22" s="312">
        <f t="shared" si="8"/>
        <v>578</v>
      </c>
      <c r="X22" s="363"/>
      <c r="Y22" s="363"/>
    </row>
    <row r="23" spans="1:25">
      <c r="A23" s="204">
        <f t="shared" si="9"/>
        <v>10</v>
      </c>
      <c r="B23" s="204" t="s">
        <v>596</v>
      </c>
      <c r="C23" s="312">
        <v>1450</v>
      </c>
      <c r="D23" s="314">
        <v>1448</v>
      </c>
      <c r="E23" s="311">
        <v>87</v>
      </c>
      <c r="F23" s="269">
        <v>58</v>
      </c>
      <c r="G23" s="311">
        <f t="shared" si="0"/>
        <v>145</v>
      </c>
      <c r="H23" s="311">
        <v>0</v>
      </c>
      <c r="I23" s="311">
        <v>0</v>
      </c>
      <c r="J23" s="311">
        <f t="shared" si="1"/>
        <v>0</v>
      </c>
      <c r="K23" s="311">
        <v>87</v>
      </c>
      <c r="L23" s="269">
        <v>58</v>
      </c>
      <c r="M23" s="311">
        <f t="shared" si="2"/>
        <v>145</v>
      </c>
      <c r="N23" s="523">
        <v>60.82</v>
      </c>
      <c r="O23" s="524">
        <v>40.54</v>
      </c>
      <c r="P23" s="523">
        <f t="shared" si="3"/>
        <v>101.36</v>
      </c>
      <c r="Q23" s="311">
        <f t="shared" si="10"/>
        <v>26.18</v>
      </c>
      <c r="R23" s="311">
        <f t="shared" si="11"/>
        <v>17.46</v>
      </c>
      <c r="S23" s="311">
        <f t="shared" si="6"/>
        <v>43.64</v>
      </c>
      <c r="T23" s="311" t="s">
        <v>652</v>
      </c>
      <c r="U23" s="312">
        <f t="shared" si="7"/>
        <v>1448</v>
      </c>
      <c r="V23" s="312">
        <f t="shared" si="8"/>
        <v>1448</v>
      </c>
      <c r="X23" s="363"/>
      <c r="Y23" s="363"/>
    </row>
    <row r="24" spans="1:25">
      <c r="A24" s="204">
        <f t="shared" si="9"/>
        <v>11</v>
      </c>
      <c r="B24" s="204" t="s">
        <v>626</v>
      </c>
      <c r="C24" s="312">
        <v>1151</v>
      </c>
      <c r="D24" s="314">
        <v>1151</v>
      </c>
      <c r="E24" s="311">
        <v>69.06</v>
      </c>
      <c r="F24" s="269">
        <v>46.04</v>
      </c>
      <c r="G24" s="311">
        <f t="shared" si="0"/>
        <v>115.1</v>
      </c>
      <c r="H24" s="311">
        <v>0</v>
      </c>
      <c r="I24" s="311">
        <v>0</v>
      </c>
      <c r="J24" s="311">
        <f t="shared" si="1"/>
        <v>0</v>
      </c>
      <c r="K24" s="311">
        <v>69.06</v>
      </c>
      <c r="L24" s="269">
        <v>46.04</v>
      </c>
      <c r="M24" s="311">
        <f t="shared" si="2"/>
        <v>115.1</v>
      </c>
      <c r="N24" s="523">
        <v>48.34</v>
      </c>
      <c r="O24" s="524">
        <v>32.229999999999997</v>
      </c>
      <c r="P24" s="523">
        <f t="shared" si="3"/>
        <v>80.569999999999993</v>
      </c>
      <c r="Q24" s="311">
        <f t="shared" si="10"/>
        <v>20.72</v>
      </c>
      <c r="R24" s="311">
        <f t="shared" si="11"/>
        <v>13.810000000000002</v>
      </c>
      <c r="S24" s="311">
        <f t="shared" si="6"/>
        <v>34.53</v>
      </c>
      <c r="T24" s="311" t="s">
        <v>652</v>
      </c>
      <c r="U24" s="312">
        <f t="shared" si="7"/>
        <v>1151</v>
      </c>
      <c r="V24" s="312">
        <f t="shared" si="8"/>
        <v>1151</v>
      </c>
      <c r="X24" s="363"/>
      <c r="Y24" s="363"/>
    </row>
    <row r="25" spans="1:25">
      <c r="A25" s="204">
        <f t="shared" si="9"/>
        <v>12</v>
      </c>
      <c r="B25" s="204" t="s">
        <v>597</v>
      </c>
      <c r="C25" s="312">
        <v>1143</v>
      </c>
      <c r="D25" s="314">
        <v>1143</v>
      </c>
      <c r="E25" s="311">
        <v>68.58</v>
      </c>
      <c r="F25" s="269">
        <v>45.72</v>
      </c>
      <c r="G25" s="311">
        <f t="shared" si="0"/>
        <v>114.3</v>
      </c>
      <c r="H25" s="311">
        <v>0</v>
      </c>
      <c r="I25" s="311">
        <v>0</v>
      </c>
      <c r="J25" s="311">
        <f t="shared" si="1"/>
        <v>0</v>
      </c>
      <c r="K25" s="311">
        <v>68.58</v>
      </c>
      <c r="L25" s="269">
        <v>45.72</v>
      </c>
      <c r="M25" s="311">
        <f t="shared" si="2"/>
        <v>114.3</v>
      </c>
      <c r="N25" s="523">
        <v>48.01</v>
      </c>
      <c r="O25" s="524">
        <v>32</v>
      </c>
      <c r="P25" s="523">
        <f t="shared" si="3"/>
        <v>80.009999999999991</v>
      </c>
      <c r="Q25" s="311">
        <f t="shared" si="10"/>
        <v>20.57</v>
      </c>
      <c r="R25" s="311">
        <f t="shared" si="11"/>
        <v>13.719999999999999</v>
      </c>
      <c r="S25" s="311">
        <f t="shared" si="6"/>
        <v>34.290000000000006</v>
      </c>
      <c r="T25" s="311" t="s">
        <v>652</v>
      </c>
      <c r="U25" s="312">
        <f t="shared" si="7"/>
        <v>1143</v>
      </c>
      <c r="V25" s="312">
        <f t="shared" si="8"/>
        <v>1143</v>
      </c>
      <c r="X25" s="363"/>
      <c r="Y25" s="363"/>
    </row>
    <row r="26" spans="1:25">
      <c r="A26" s="204">
        <f t="shared" si="9"/>
        <v>13</v>
      </c>
      <c r="B26" s="204" t="s">
        <v>598</v>
      </c>
      <c r="C26" s="312">
        <v>1176</v>
      </c>
      <c r="D26" s="314">
        <v>1176</v>
      </c>
      <c r="E26" s="311">
        <v>70.56</v>
      </c>
      <c r="F26" s="269">
        <v>47.04</v>
      </c>
      <c r="G26" s="311">
        <f t="shared" si="0"/>
        <v>117.6</v>
      </c>
      <c r="H26" s="311">
        <v>0</v>
      </c>
      <c r="I26" s="311">
        <v>0</v>
      </c>
      <c r="J26" s="311">
        <f t="shared" si="1"/>
        <v>0</v>
      </c>
      <c r="K26" s="311">
        <v>70.56</v>
      </c>
      <c r="L26" s="269">
        <v>47.04</v>
      </c>
      <c r="M26" s="311">
        <f t="shared" si="2"/>
        <v>117.6</v>
      </c>
      <c r="N26" s="523">
        <v>49.39</v>
      </c>
      <c r="O26" s="524">
        <v>32.93</v>
      </c>
      <c r="P26" s="523">
        <f t="shared" si="3"/>
        <v>82.32</v>
      </c>
      <c r="Q26" s="311">
        <f t="shared" si="10"/>
        <v>21.17</v>
      </c>
      <c r="R26" s="311">
        <f t="shared" si="11"/>
        <v>14.11</v>
      </c>
      <c r="S26" s="311">
        <f t="shared" si="6"/>
        <v>35.28</v>
      </c>
      <c r="T26" s="311" t="s">
        <v>652</v>
      </c>
      <c r="U26" s="312">
        <f t="shared" si="7"/>
        <v>1176</v>
      </c>
      <c r="V26" s="312">
        <f t="shared" si="8"/>
        <v>1176</v>
      </c>
      <c r="X26" s="363"/>
      <c r="Y26" s="363"/>
    </row>
    <row r="27" spans="1:25">
      <c r="A27" s="204">
        <f t="shared" si="9"/>
        <v>14</v>
      </c>
      <c r="B27" s="204" t="s">
        <v>627</v>
      </c>
      <c r="C27" s="312">
        <v>763</v>
      </c>
      <c r="D27" s="314">
        <v>763</v>
      </c>
      <c r="E27" s="311">
        <v>45.78</v>
      </c>
      <c r="F27" s="269">
        <v>30.52</v>
      </c>
      <c r="G27" s="311">
        <f t="shared" si="0"/>
        <v>76.3</v>
      </c>
      <c r="H27" s="311">
        <v>0</v>
      </c>
      <c r="I27" s="311">
        <v>0</v>
      </c>
      <c r="J27" s="311">
        <f t="shared" si="1"/>
        <v>0</v>
      </c>
      <c r="K27" s="311">
        <v>45.78</v>
      </c>
      <c r="L27" s="269">
        <v>30.52</v>
      </c>
      <c r="M27" s="311">
        <f t="shared" si="2"/>
        <v>76.3</v>
      </c>
      <c r="N27" s="523">
        <v>32.049999999999997</v>
      </c>
      <c r="O27" s="524">
        <v>21.36</v>
      </c>
      <c r="P27" s="523">
        <f t="shared" si="3"/>
        <v>53.41</v>
      </c>
      <c r="Q27" s="311">
        <f t="shared" si="10"/>
        <v>13.730000000000004</v>
      </c>
      <c r="R27" s="311">
        <f t="shared" si="11"/>
        <v>9.16</v>
      </c>
      <c r="S27" s="311">
        <f t="shared" si="6"/>
        <v>22.89</v>
      </c>
      <c r="T27" s="311" t="s">
        <v>652</v>
      </c>
      <c r="U27" s="312">
        <f t="shared" si="7"/>
        <v>763</v>
      </c>
      <c r="V27" s="312">
        <f t="shared" si="8"/>
        <v>763</v>
      </c>
      <c r="X27" s="363"/>
      <c r="Y27" s="363"/>
    </row>
    <row r="28" spans="1:25">
      <c r="A28" s="204">
        <f t="shared" si="9"/>
        <v>15</v>
      </c>
      <c r="B28" s="204" t="s">
        <v>599</v>
      </c>
      <c r="C28" s="312">
        <v>1562</v>
      </c>
      <c r="D28" s="314">
        <v>1560</v>
      </c>
      <c r="E28" s="311">
        <v>93.72</v>
      </c>
      <c r="F28" s="269">
        <v>62.48</v>
      </c>
      <c r="G28" s="311">
        <f t="shared" si="0"/>
        <v>156.19999999999999</v>
      </c>
      <c r="H28" s="311">
        <v>0</v>
      </c>
      <c r="I28" s="311">
        <v>0</v>
      </c>
      <c r="J28" s="311">
        <f t="shared" si="1"/>
        <v>0</v>
      </c>
      <c r="K28" s="311">
        <v>93.72</v>
      </c>
      <c r="L28" s="269">
        <v>62.48</v>
      </c>
      <c r="M28" s="311">
        <f t="shared" si="2"/>
        <v>156.19999999999999</v>
      </c>
      <c r="N28" s="523">
        <v>65.52</v>
      </c>
      <c r="O28" s="524">
        <v>43.68</v>
      </c>
      <c r="P28" s="523">
        <f t="shared" si="3"/>
        <v>109.19999999999999</v>
      </c>
      <c r="Q28" s="311">
        <f t="shared" si="10"/>
        <v>28.200000000000003</v>
      </c>
      <c r="R28" s="311">
        <f t="shared" si="11"/>
        <v>18.799999999999997</v>
      </c>
      <c r="S28" s="311">
        <f t="shared" si="6"/>
        <v>47</v>
      </c>
      <c r="T28" s="311" t="s">
        <v>652</v>
      </c>
      <c r="U28" s="312">
        <f t="shared" si="7"/>
        <v>1560</v>
      </c>
      <c r="V28" s="312">
        <f t="shared" si="8"/>
        <v>1560</v>
      </c>
      <c r="X28" s="363"/>
      <c r="Y28" s="363"/>
    </row>
    <row r="29" spans="1:25">
      <c r="A29" s="204">
        <f t="shared" si="9"/>
        <v>16</v>
      </c>
      <c r="B29" s="204" t="s">
        <v>600</v>
      </c>
      <c r="C29" s="312">
        <v>812</v>
      </c>
      <c r="D29" s="314">
        <v>812</v>
      </c>
      <c r="E29" s="311">
        <v>48.72</v>
      </c>
      <c r="F29" s="269">
        <v>32.479999999999997</v>
      </c>
      <c r="G29" s="311">
        <f t="shared" si="0"/>
        <v>81.199999999999989</v>
      </c>
      <c r="H29" s="311">
        <v>0</v>
      </c>
      <c r="I29" s="311">
        <v>0</v>
      </c>
      <c r="J29" s="311">
        <f t="shared" si="1"/>
        <v>0</v>
      </c>
      <c r="K29" s="311">
        <v>48.72</v>
      </c>
      <c r="L29" s="269">
        <v>32.479999999999997</v>
      </c>
      <c r="M29" s="311">
        <f t="shared" si="2"/>
        <v>81.199999999999989</v>
      </c>
      <c r="N29" s="523">
        <v>34.1</v>
      </c>
      <c r="O29" s="524">
        <v>22.74</v>
      </c>
      <c r="P29" s="523">
        <f t="shared" si="3"/>
        <v>56.84</v>
      </c>
      <c r="Q29" s="311">
        <f t="shared" si="10"/>
        <v>14.619999999999997</v>
      </c>
      <c r="R29" s="311">
        <f t="shared" si="11"/>
        <v>9.7399999999999984</v>
      </c>
      <c r="S29" s="311">
        <f t="shared" si="6"/>
        <v>24.359999999999985</v>
      </c>
      <c r="T29" s="311" t="s">
        <v>652</v>
      </c>
      <c r="U29" s="312">
        <f t="shared" si="7"/>
        <v>812</v>
      </c>
      <c r="V29" s="312">
        <f t="shared" si="8"/>
        <v>812</v>
      </c>
      <c r="X29" s="363"/>
      <c r="Y29" s="363"/>
    </row>
    <row r="30" spans="1:25" s="527" customFormat="1">
      <c r="A30" s="204">
        <f t="shared" si="9"/>
        <v>17</v>
      </c>
      <c r="B30" s="529" t="s">
        <v>684</v>
      </c>
      <c r="C30" s="312">
        <v>436</v>
      </c>
      <c r="D30" s="314">
        <v>436</v>
      </c>
      <c r="E30" s="311">
        <v>26.16</v>
      </c>
      <c r="F30" s="269">
        <v>17.440000000000001</v>
      </c>
      <c r="G30" s="311">
        <f t="shared" si="0"/>
        <v>43.6</v>
      </c>
      <c r="H30" s="311">
        <v>0</v>
      </c>
      <c r="I30" s="311">
        <v>0</v>
      </c>
      <c r="J30" s="311">
        <f t="shared" si="1"/>
        <v>0</v>
      </c>
      <c r="K30" s="311">
        <v>26.16</v>
      </c>
      <c r="L30" s="269">
        <v>17.440000000000001</v>
      </c>
      <c r="M30" s="311">
        <f t="shared" si="2"/>
        <v>43.6</v>
      </c>
      <c r="N30" s="523">
        <v>18.309999999999999</v>
      </c>
      <c r="O30" s="524">
        <v>12.21</v>
      </c>
      <c r="P30" s="523">
        <f t="shared" si="3"/>
        <v>30.52</v>
      </c>
      <c r="Q30" s="311">
        <f t="shared" si="10"/>
        <v>7.8500000000000014</v>
      </c>
      <c r="R30" s="311">
        <f t="shared" si="11"/>
        <v>5.23</v>
      </c>
      <c r="S30" s="311">
        <f t="shared" si="6"/>
        <v>13.080000000000002</v>
      </c>
      <c r="T30" s="311" t="s">
        <v>652</v>
      </c>
      <c r="U30" s="312">
        <f t="shared" si="7"/>
        <v>436</v>
      </c>
      <c r="V30" s="312">
        <f t="shared" si="8"/>
        <v>436</v>
      </c>
      <c r="X30" s="363"/>
      <c r="Y30" s="363"/>
    </row>
    <row r="31" spans="1:25">
      <c r="A31" s="204">
        <f t="shared" si="9"/>
        <v>18</v>
      </c>
      <c r="B31" s="204" t="s">
        <v>601</v>
      </c>
      <c r="C31" s="312">
        <v>1120</v>
      </c>
      <c r="D31" s="314">
        <v>1120</v>
      </c>
      <c r="E31" s="311">
        <v>67.2</v>
      </c>
      <c r="F31" s="269">
        <v>44.8</v>
      </c>
      <c r="G31" s="311">
        <f t="shared" si="0"/>
        <v>112</v>
      </c>
      <c r="H31" s="311">
        <v>0</v>
      </c>
      <c r="I31" s="311">
        <v>0</v>
      </c>
      <c r="J31" s="311">
        <f t="shared" si="1"/>
        <v>0</v>
      </c>
      <c r="K31" s="311">
        <v>67.2</v>
      </c>
      <c r="L31" s="269">
        <v>44.8</v>
      </c>
      <c r="M31" s="311">
        <f t="shared" si="2"/>
        <v>112</v>
      </c>
      <c r="N31" s="523">
        <v>47.04</v>
      </c>
      <c r="O31" s="524">
        <v>31.36</v>
      </c>
      <c r="P31" s="523">
        <f t="shared" si="3"/>
        <v>78.400000000000006</v>
      </c>
      <c r="Q31" s="311">
        <f t="shared" si="10"/>
        <v>20.160000000000004</v>
      </c>
      <c r="R31" s="311">
        <f t="shared" si="11"/>
        <v>13.439999999999998</v>
      </c>
      <c r="S31" s="311">
        <f t="shared" si="6"/>
        <v>33.599999999999994</v>
      </c>
      <c r="T31" s="311" t="s">
        <v>652</v>
      </c>
      <c r="U31" s="312">
        <f t="shared" si="7"/>
        <v>1120</v>
      </c>
      <c r="V31" s="312">
        <f t="shared" si="8"/>
        <v>1120</v>
      </c>
      <c r="X31" s="363"/>
      <c r="Y31" s="363"/>
    </row>
    <row r="32" spans="1:25">
      <c r="A32" s="204">
        <f t="shared" si="9"/>
        <v>19</v>
      </c>
      <c r="B32" s="204" t="s">
        <v>602</v>
      </c>
      <c r="C32" s="312">
        <v>2205</v>
      </c>
      <c r="D32" s="314">
        <v>2205</v>
      </c>
      <c r="E32" s="311">
        <v>132.30000000000001</v>
      </c>
      <c r="F32" s="269">
        <v>88.2</v>
      </c>
      <c r="G32" s="311">
        <f t="shared" si="0"/>
        <v>220.5</v>
      </c>
      <c r="H32" s="311">
        <v>0</v>
      </c>
      <c r="I32" s="311">
        <v>0</v>
      </c>
      <c r="J32" s="311">
        <f t="shared" si="1"/>
        <v>0</v>
      </c>
      <c r="K32" s="311">
        <v>132.30000000000001</v>
      </c>
      <c r="L32" s="269">
        <v>88.2</v>
      </c>
      <c r="M32" s="311">
        <f t="shared" si="2"/>
        <v>220.5</v>
      </c>
      <c r="N32" s="523">
        <v>92.61</v>
      </c>
      <c r="O32" s="524">
        <v>61.74</v>
      </c>
      <c r="P32" s="523">
        <f t="shared" si="3"/>
        <v>154.35</v>
      </c>
      <c r="Q32" s="311">
        <f t="shared" si="10"/>
        <v>39.690000000000012</v>
      </c>
      <c r="R32" s="311">
        <f t="shared" si="11"/>
        <v>26.46</v>
      </c>
      <c r="S32" s="311">
        <f t="shared" si="6"/>
        <v>66.150000000000006</v>
      </c>
      <c r="T32" s="311" t="s">
        <v>652</v>
      </c>
      <c r="U32" s="312">
        <f t="shared" si="7"/>
        <v>2205</v>
      </c>
      <c r="V32" s="312">
        <f t="shared" si="8"/>
        <v>2205</v>
      </c>
      <c r="X32" s="363"/>
      <c r="Y32" s="363"/>
    </row>
    <row r="33" spans="1:25" s="527" customFormat="1">
      <c r="A33" s="204">
        <f t="shared" si="9"/>
        <v>20</v>
      </c>
      <c r="B33" s="529" t="s">
        <v>683</v>
      </c>
      <c r="C33" s="312">
        <v>936</v>
      </c>
      <c r="D33" s="314">
        <v>936</v>
      </c>
      <c r="E33" s="311">
        <v>56.16</v>
      </c>
      <c r="F33" s="269">
        <v>37.44</v>
      </c>
      <c r="G33" s="311">
        <f t="shared" si="0"/>
        <v>93.6</v>
      </c>
      <c r="H33" s="311">
        <v>0</v>
      </c>
      <c r="I33" s="311">
        <v>0</v>
      </c>
      <c r="J33" s="311">
        <f t="shared" si="1"/>
        <v>0</v>
      </c>
      <c r="K33" s="311">
        <v>56.16</v>
      </c>
      <c r="L33" s="269">
        <v>37.44</v>
      </c>
      <c r="M33" s="311">
        <f t="shared" si="2"/>
        <v>93.6</v>
      </c>
      <c r="N33" s="523">
        <v>39.31</v>
      </c>
      <c r="O33" s="524">
        <v>26.21</v>
      </c>
      <c r="P33" s="523">
        <f t="shared" si="3"/>
        <v>65.52000000000001</v>
      </c>
      <c r="Q33" s="311">
        <f t="shared" si="10"/>
        <v>16.849999999999994</v>
      </c>
      <c r="R33" s="311">
        <f t="shared" si="11"/>
        <v>11.229999999999997</v>
      </c>
      <c r="S33" s="311">
        <f t="shared" si="6"/>
        <v>28.079999999999984</v>
      </c>
      <c r="T33" s="311" t="s">
        <v>652</v>
      </c>
      <c r="U33" s="312">
        <f t="shared" si="7"/>
        <v>936</v>
      </c>
      <c r="V33" s="312">
        <f t="shared" si="8"/>
        <v>936</v>
      </c>
      <c r="X33" s="363"/>
      <c r="Y33" s="363"/>
    </row>
    <row r="34" spans="1:25">
      <c r="A34" s="204">
        <f t="shared" si="9"/>
        <v>21</v>
      </c>
      <c r="B34" s="529" t="s">
        <v>628</v>
      </c>
      <c r="C34" s="312">
        <v>868</v>
      </c>
      <c r="D34" s="314">
        <v>868</v>
      </c>
      <c r="E34" s="311">
        <v>52.08</v>
      </c>
      <c r="F34" s="269">
        <v>34.72</v>
      </c>
      <c r="G34" s="311">
        <f t="shared" si="0"/>
        <v>86.8</v>
      </c>
      <c r="H34" s="311">
        <v>0</v>
      </c>
      <c r="I34" s="311">
        <v>0</v>
      </c>
      <c r="J34" s="311">
        <f t="shared" si="1"/>
        <v>0</v>
      </c>
      <c r="K34" s="311">
        <v>52.08</v>
      </c>
      <c r="L34" s="269">
        <v>34.72</v>
      </c>
      <c r="M34" s="311">
        <f t="shared" si="2"/>
        <v>86.8</v>
      </c>
      <c r="N34" s="523">
        <v>36.46</v>
      </c>
      <c r="O34" s="524">
        <v>24.3</v>
      </c>
      <c r="P34" s="523">
        <f t="shared" si="3"/>
        <v>60.760000000000005</v>
      </c>
      <c r="Q34" s="311">
        <f t="shared" si="10"/>
        <v>15.619999999999997</v>
      </c>
      <c r="R34" s="311">
        <f t="shared" si="11"/>
        <v>10.419999999999998</v>
      </c>
      <c r="S34" s="311">
        <f t="shared" si="6"/>
        <v>26.039999999999992</v>
      </c>
      <c r="T34" s="311" t="s">
        <v>652</v>
      </c>
      <c r="U34" s="312">
        <f t="shared" si="7"/>
        <v>868</v>
      </c>
      <c r="V34" s="312">
        <f t="shared" si="8"/>
        <v>868</v>
      </c>
      <c r="X34" s="363"/>
      <c r="Y34" s="363"/>
    </row>
    <row r="35" spans="1:25">
      <c r="A35" s="204">
        <f t="shared" si="9"/>
        <v>22</v>
      </c>
      <c r="B35" s="204" t="s">
        <v>603</v>
      </c>
      <c r="C35" s="312">
        <v>1256</v>
      </c>
      <c r="D35" s="314">
        <v>1256</v>
      </c>
      <c r="E35" s="311">
        <v>75.36</v>
      </c>
      <c r="F35" s="269">
        <v>50.24</v>
      </c>
      <c r="G35" s="311">
        <f t="shared" si="0"/>
        <v>125.6</v>
      </c>
      <c r="H35" s="311">
        <v>0</v>
      </c>
      <c r="I35" s="311">
        <v>0</v>
      </c>
      <c r="J35" s="311">
        <f t="shared" si="1"/>
        <v>0</v>
      </c>
      <c r="K35" s="311">
        <v>75.36</v>
      </c>
      <c r="L35" s="269">
        <v>50.24</v>
      </c>
      <c r="M35" s="311">
        <f t="shared" si="2"/>
        <v>125.6</v>
      </c>
      <c r="N35" s="523">
        <v>52.75</v>
      </c>
      <c r="O35" s="524">
        <v>35.17</v>
      </c>
      <c r="P35" s="523">
        <f t="shared" si="3"/>
        <v>87.92</v>
      </c>
      <c r="Q35" s="311">
        <f t="shared" si="10"/>
        <v>22.61</v>
      </c>
      <c r="R35" s="311">
        <f t="shared" si="11"/>
        <v>15.07</v>
      </c>
      <c r="S35" s="311">
        <f t="shared" si="6"/>
        <v>37.679999999999993</v>
      </c>
      <c r="T35" s="311" t="s">
        <v>652</v>
      </c>
      <c r="U35" s="312">
        <f t="shared" si="7"/>
        <v>1256</v>
      </c>
      <c r="V35" s="312">
        <f t="shared" si="8"/>
        <v>1256</v>
      </c>
      <c r="X35" s="363"/>
      <c r="Y35" s="363"/>
    </row>
    <row r="36" spans="1:25">
      <c r="A36" s="204">
        <f t="shared" si="9"/>
        <v>23</v>
      </c>
      <c r="B36" s="204" t="s">
        <v>604</v>
      </c>
      <c r="C36" s="312">
        <v>573</v>
      </c>
      <c r="D36" s="314">
        <v>573</v>
      </c>
      <c r="E36" s="311">
        <v>34.380000000000003</v>
      </c>
      <c r="F36" s="269">
        <v>22.92</v>
      </c>
      <c r="G36" s="311">
        <f t="shared" si="0"/>
        <v>57.300000000000004</v>
      </c>
      <c r="H36" s="311">
        <v>0</v>
      </c>
      <c r="I36" s="311">
        <v>0</v>
      </c>
      <c r="J36" s="311">
        <f t="shared" si="1"/>
        <v>0</v>
      </c>
      <c r="K36" s="311">
        <v>34.380000000000003</v>
      </c>
      <c r="L36" s="269">
        <v>22.92</v>
      </c>
      <c r="M36" s="311">
        <f t="shared" si="2"/>
        <v>57.300000000000004</v>
      </c>
      <c r="N36" s="523">
        <v>24.07</v>
      </c>
      <c r="O36" s="524">
        <v>16.04</v>
      </c>
      <c r="P36" s="523">
        <f t="shared" si="3"/>
        <v>40.11</v>
      </c>
      <c r="Q36" s="311">
        <f t="shared" si="10"/>
        <v>10.310000000000002</v>
      </c>
      <c r="R36" s="311">
        <f t="shared" si="11"/>
        <v>6.8800000000000026</v>
      </c>
      <c r="S36" s="311">
        <f t="shared" si="6"/>
        <v>17.190000000000005</v>
      </c>
      <c r="T36" s="311" t="s">
        <v>652</v>
      </c>
      <c r="U36" s="312">
        <f t="shared" si="7"/>
        <v>573</v>
      </c>
      <c r="V36" s="312">
        <f t="shared" si="8"/>
        <v>573</v>
      </c>
      <c r="X36" s="363"/>
      <c r="Y36" s="363"/>
    </row>
    <row r="37" spans="1:25">
      <c r="A37" s="204">
        <f t="shared" si="9"/>
        <v>24</v>
      </c>
      <c r="B37" s="204" t="s">
        <v>605</v>
      </c>
      <c r="C37" s="312">
        <v>438</v>
      </c>
      <c r="D37" s="314">
        <v>438</v>
      </c>
      <c r="E37" s="311">
        <v>26.28</v>
      </c>
      <c r="F37" s="269">
        <v>17.52</v>
      </c>
      <c r="G37" s="311">
        <f t="shared" si="0"/>
        <v>43.8</v>
      </c>
      <c r="H37" s="311">
        <v>0</v>
      </c>
      <c r="I37" s="311">
        <v>0</v>
      </c>
      <c r="J37" s="311">
        <f t="shared" si="1"/>
        <v>0</v>
      </c>
      <c r="K37" s="311">
        <v>26.28</v>
      </c>
      <c r="L37" s="269">
        <v>17.52</v>
      </c>
      <c r="M37" s="311">
        <f t="shared" si="2"/>
        <v>43.8</v>
      </c>
      <c r="N37" s="523">
        <v>18.399999999999999</v>
      </c>
      <c r="O37" s="524">
        <v>12.26</v>
      </c>
      <c r="P37" s="523">
        <f t="shared" si="3"/>
        <v>30.659999999999997</v>
      </c>
      <c r="Q37" s="311">
        <f t="shared" si="4"/>
        <v>7.8800000000000026</v>
      </c>
      <c r="R37" s="311">
        <f t="shared" si="5"/>
        <v>5.26</v>
      </c>
      <c r="S37" s="311">
        <f t="shared" si="6"/>
        <v>13.14</v>
      </c>
      <c r="T37" s="311" t="s">
        <v>652</v>
      </c>
      <c r="U37" s="312">
        <f t="shared" si="7"/>
        <v>438</v>
      </c>
      <c r="V37" s="312">
        <f t="shared" si="8"/>
        <v>438</v>
      </c>
      <c r="X37" s="363"/>
      <c r="Y37" s="363"/>
    </row>
    <row r="38" spans="1:25">
      <c r="A38" s="204">
        <f t="shared" si="9"/>
        <v>25</v>
      </c>
      <c r="B38" s="204" t="s">
        <v>606</v>
      </c>
      <c r="C38" s="312">
        <v>1885</v>
      </c>
      <c r="D38" s="314">
        <v>1885</v>
      </c>
      <c r="E38" s="311">
        <v>113.1</v>
      </c>
      <c r="F38" s="269">
        <v>75.400000000000006</v>
      </c>
      <c r="G38" s="311">
        <f t="shared" si="0"/>
        <v>188.5</v>
      </c>
      <c r="H38" s="311">
        <v>0</v>
      </c>
      <c r="I38" s="311">
        <v>0</v>
      </c>
      <c r="J38" s="311">
        <f t="shared" si="1"/>
        <v>0</v>
      </c>
      <c r="K38" s="311">
        <v>113.1</v>
      </c>
      <c r="L38" s="269">
        <v>75.400000000000006</v>
      </c>
      <c r="M38" s="311">
        <f t="shared" si="2"/>
        <v>188.5</v>
      </c>
      <c r="N38" s="523">
        <v>79.17</v>
      </c>
      <c r="O38" s="524">
        <v>52.78</v>
      </c>
      <c r="P38" s="523">
        <f t="shared" si="3"/>
        <v>131.94999999999999</v>
      </c>
      <c r="Q38" s="311">
        <f t="shared" si="4"/>
        <v>33.929999999999993</v>
      </c>
      <c r="R38" s="311">
        <f t="shared" si="5"/>
        <v>22.620000000000005</v>
      </c>
      <c r="S38" s="311">
        <f t="shared" si="6"/>
        <v>56.550000000000011</v>
      </c>
      <c r="T38" s="311" t="s">
        <v>652</v>
      </c>
      <c r="U38" s="312">
        <f t="shared" ref="U38:U46" si="12">D38</f>
        <v>1885</v>
      </c>
      <c r="V38" s="312">
        <f t="shared" si="8"/>
        <v>1885</v>
      </c>
      <c r="X38" s="363"/>
      <c r="Y38" s="363"/>
    </row>
    <row r="39" spans="1:25">
      <c r="A39" s="204">
        <f t="shared" si="9"/>
        <v>26</v>
      </c>
      <c r="B39" s="204" t="s">
        <v>607</v>
      </c>
      <c r="C39" s="312">
        <v>1834</v>
      </c>
      <c r="D39" s="314">
        <v>1834</v>
      </c>
      <c r="E39" s="311">
        <v>110.04</v>
      </c>
      <c r="F39" s="269">
        <v>73.36</v>
      </c>
      <c r="G39" s="311">
        <f t="shared" si="0"/>
        <v>183.4</v>
      </c>
      <c r="H39" s="311">
        <v>0</v>
      </c>
      <c r="I39" s="311">
        <v>0</v>
      </c>
      <c r="J39" s="311">
        <f t="shared" si="1"/>
        <v>0</v>
      </c>
      <c r="K39" s="311">
        <v>110.04</v>
      </c>
      <c r="L39" s="269">
        <v>73.36</v>
      </c>
      <c r="M39" s="311">
        <f t="shared" si="2"/>
        <v>183.4</v>
      </c>
      <c r="N39" s="523">
        <v>77.03</v>
      </c>
      <c r="O39" s="524">
        <v>51.35</v>
      </c>
      <c r="P39" s="523">
        <f t="shared" si="3"/>
        <v>128.38</v>
      </c>
      <c r="Q39" s="311">
        <f t="shared" si="4"/>
        <v>33.010000000000005</v>
      </c>
      <c r="R39" s="311">
        <f t="shared" si="5"/>
        <v>22.009999999999998</v>
      </c>
      <c r="S39" s="311">
        <f t="shared" si="6"/>
        <v>55.02000000000001</v>
      </c>
      <c r="T39" s="311" t="s">
        <v>652</v>
      </c>
      <c r="U39" s="312">
        <f t="shared" si="12"/>
        <v>1834</v>
      </c>
      <c r="V39" s="312">
        <f t="shared" si="8"/>
        <v>1834</v>
      </c>
      <c r="X39" s="363"/>
      <c r="Y39" s="363"/>
    </row>
    <row r="40" spans="1:25">
      <c r="A40" s="204">
        <f t="shared" si="9"/>
        <v>27</v>
      </c>
      <c r="B40" s="204" t="s">
        <v>608</v>
      </c>
      <c r="C40" s="312">
        <v>1232</v>
      </c>
      <c r="D40" s="314">
        <v>1232</v>
      </c>
      <c r="E40" s="311">
        <v>73.92</v>
      </c>
      <c r="F40" s="269">
        <v>49.28</v>
      </c>
      <c r="G40" s="311">
        <f t="shared" si="0"/>
        <v>123.2</v>
      </c>
      <c r="H40" s="311">
        <v>0</v>
      </c>
      <c r="I40" s="311">
        <v>0</v>
      </c>
      <c r="J40" s="311">
        <f t="shared" si="1"/>
        <v>0</v>
      </c>
      <c r="K40" s="311">
        <v>73.92</v>
      </c>
      <c r="L40" s="269">
        <v>49.28</v>
      </c>
      <c r="M40" s="311">
        <f t="shared" si="2"/>
        <v>123.2</v>
      </c>
      <c r="N40" s="523">
        <v>51.74</v>
      </c>
      <c r="O40" s="524">
        <v>34.5</v>
      </c>
      <c r="P40" s="523">
        <f t="shared" si="3"/>
        <v>86.240000000000009</v>
      </c>
      <c r="Q40" s="311">
        <f t="shared" si="4"/>
        <v>22.18</v>
      </c>
      <c r="R40" s="311">
        <f t="shared" si="5"/>
        <v>14.780000000000001</v>
      </c>
      <c r="S40" s="311">
        <f t="shared" si="6"/>
        <v>36.959999999999994</v>
      </c>
      <c r="T40" s="311" t="s">
        <v>652</v>
      </c>
      <c r="U40" s="312">
        <f t="shared" si="12"/>
        <v>1232</v>
      </c>
      <c r="V40" s="312">
        <f t="shared" si="8"/>
        <v>1232</v>
      </c>
      <c r="X40" s="363"/>
      <c r="Y40" s="363"/>
    </row>
    <row r="41" spans="1:25">
      <c r="A41" s="204">
        <f t="shared" si="9"/>
        <v>28</v>
      </c>
      <c r="B41" s="204" t="s">
        <v>609</v>
      </c>
      <c r="C41" s="312">
        <v>1430</v>
      </c>
      <c r="D41" s="314">
        <v>1430</v>
      </c>
      <c r="E41" s="311">
        <v>85.8</v>
      </c>
      <c r="F41" s="269">
        <v>57.2</v>
      </c>
      <c r="G41" s="311">
        <f t="shared" si="0"/>
        <v>143</v>
      </c>
      <c r="H41" s="311">
        <v>0</v>
      </c>
      <c r="I41" s="311">
        <v>0</v>
      </c>
      <c r="J41" s="311">
        <f t="shared" si="1"/>
        <v>0</v>
      </c>
      <c r="K41" s="311">
        <v>85.8</v>
      </c>
      <c r="L41" s="269">
        <v>57.2</v>
      </c>
      <c r="M41" s="311">
        <f t="shared" ref="M41:M46" si="13">SUM(K41:L41)</f>
        <v>143</v>
      </c>
      <c r="N41" s="523">
        <v>60.06</v>
      </c>
      <c r="O41" s="524">
        <v>40.04</v>
      </c>
      <c r="P41" s="523">
        <f t="shared" si="3"/>
        <v>100.1</v>
      </c>
      <c r="Q41" s="311">
        <f t="shared" si="4"/>
        <v>25.739999999999995</v>
      </c>
      <c r="R41" s="311">
        <f t="shared" si="5"/>
        <v>17.160000000000004</v>
      </c>
      <c r="S41" s="311">
        <f t="shared" ref="S41:S46" si="14">J41+M41-P41</f>
        <v>42.900000000000006</v>
      </c>
      <c r="T41" s="311" t="s">
        <v>652</v>
      </c>
      <c r="U41" s="312">
        <f t="shared" si="12"/>
        <v>1430</v>
      </c>
      <c r="V41" s="312">
        <f t="shared" si="8"/>
        <v>1430</v>
      </c>
      <c r="X41" s="363"/>
      <c r="Y41" s="363"/>
    </row>
    <row r="42" spans="1:25">
      <c r="A42" s="204">
        <f t="shared" si="9"/>
        <v>29</v>
      </c>
      <c r="B42" s="204" t="s">
        <v>610</v>
      </c>
      <c r="C42" s="312">
        <v>1170</v>
      </c>
      <c r="D42" s="314">
        <v>1170</v>
      </c>
      <c r="E42" s="311">
        <v>70.2</v>
      </c>
      <c r="F42" s="269">
        <v>46.8</v>
      </c>
      <c r="G42" s="311">
        <f t="shared" si="0"/>
        <v>117</v>
      </c>
      <c r="H42" s="311">
        <v>0</v>
      </c>
      <c r="I42" s="311">
        <v>0</v>
      </c>
      <c r="J42" s="311">
        <f t="shared" si="1"/>
        <v>0</v>
      </c>
      <c r="K42" s="311">
        <v>70.2</v>
      </c>
      <c r="L42" s="269">
        <v>46.8</v>
      </c>
      <c r="M42" s="311">
        <f t="shared" si="13"/>
        <v>117</v>
      </c>
      <c r="N42" s="523">
        <v>49.14</v>
      </c>
      <c r="O42" s="524">
        <v>32.76</v>
      </c>
      <c r="P42" s="523">
        <f t="shared" si="3"/>
        <v>81.900000000000006</v>
      </c>
      <c r="Q42" s="311">
        <f t="shared" si="4"/>
        <v>21.060000000000002</v>
      </c>
      <c r="R42" s="311">
        <f t="shared" si="5"/>
        <v>14.04</v>
      </c>
      <c r="S42" s="311">
        <f t="shared" si="14"/>
        <v>35.099999999999994</v>
      </c>
      <c r="T42" s="311" t="s">
        <v>652</v>
      </c>
      <c r="U42" s="312">
        <f t="shared" si="12"/>
        <v>1170</v>
      </c>
      <c r="V42" s="312">
        <f t="shared" si="8"/>
        <v>1170</v>
      </c>
      <c r="X42" s="363"/>
      <c r="Y42" s="363"/>
    </row>
    <row r="43" spans="1:25">
      <c r="A43" s="204">
        <f t="shared" si="9"/>
        <v>30</v>
      </c>
      <c r="B43" s="502" t="s">
        <v>611</v>
      </c>
      <c r="C43" s="312">
        <v>697</v>
      </c>
      <c r="D43" s="314">
        <v>697</v>
      </c>
      <c r="E43" s="311">
        <v>41.82</v>
      </c>
      <c r="F43" s="269">
        <v>27.88</v>
      </c>
      <c r="G43" s="311">
        <f t="shared" si="0"/>
        <v>69.7</v>
      </c>
      <c r="H43" s="311">
        <v>0</v>
      </c>
      <c r="I43" s="311">
        <v>0</v>
      </c>
      <c r="J43" s="311">
        <f t="shared" si="1"/>
        <v>0</v>
      </c>
      <c r="K43" s="311">
        <v>41.82</v>
      </c>
      <c r="L43" s="269">
        <v>27.88</v>
      </c>
      <c r="M43" s="311">
        <f t="shared" si="13"/>
        <v>69.7</v>
      </c>
      <c r="N43" s="523">
        <v>29.27</v>
      </c>
      <c r="O43" s="524">
        <v>19.52</v>
      </c>
      <c r="P43" s="523">
        <f t="shared" si="3"/>
        <v>48.79</v>
      </c>
      <c r="Q43" s="311">
        <f t="shared" si="4"/>
        <v>12.55</v>
      </c>
      <c r="R43" s="311">
        <f t="shared" si="5"/>
        <v>8.36</v>
      </c>
      <c r="S43" s="311">
        <f t="shared" si="14"/>
        <v>20.910000000000004</v>
      </c>
      <c r="T43" s="311" t="s">
        <v>652</v>
      </c>
      <c r="U43" s="312">
        <f t="shared" si="12"/>
        <v>697</v>
      </c>
      <c r="V43" s="312">
        <f t="shared" si="8"/>
        <v>697</v>
      </c>
      <c r="X43" s="363"/>
      <c r="Y43" s="363"/>
    </row>
    <row r="44" spans="1:25">
      <c r="A44" s="204">
        <f t="shared" si="9"/>
        <v>31</v>
      </c>
      <c r="B44" s="502" t="s">
        <v>612</v>
      </c>
      <c r="C44" s="312">
        <v>754</v>
      </c>
      <c r="D44" s="314">
        <v>754</v>
      </c>
      <c r="E44" s="311">
        <v>45.24</v>
      </c>
      <c r="F44" s="269">
        <v>30.16</v>
      </c>
      <c r="G44" s="311">
        <f t="shared" si="0"/>
        <v>75.400000000000006</v>
      </c>
      <c r="H44" s="311">
        <v>0</v>
      </c>
      <c r="I44" s="311">
        <v>0</v>
      </c>
      <c r="J44" s="311">
        <f t="shared" si="1"/>
        <v>0</v>
      </c>
      <c r="K44" s="311">
        <v>45.24</v>
      </c>
      <c r="L44" s="269">
        <v>30.16</v>
      </c>
      <c r="M44" s="311">
        <f t="shared" si="13"/>
        <v>75.400000000000006</v>
      </c>
      <c r="N44" s="523">
        <v>31.67</v>
      </c>
      <c r="O44" s="524">
        <v>21.11</v>
      </c>
      <c r="P44" s="523">
        <f t="shared" si="3"/>
        <v>52.78</v>
      </c>
      <c r="Q44" s="311">
        <f t="shared" si="4"/>
        <v>13.57</v>
      </c>
      <c r="R44" s="311">
        <f t="shared" si="5"/>
        <v>9.0500000000000007</v>
      </c>
      <c r="S44" s="311">
        <f t="shared" si="14"/>
        <v>22.620000000000005</v>
      </c>
      <c r="T44" s="311" t="s">
        <v>652</v>
      </c>
      <c r="U44" s="312">
        <f t="shared" si="12"/>
        <v>754</v>
      </c>
      <c r="V44" s="312">
        <f t="shared" si="8"/>
        <v>754</v>
      </c>
      <c r="X44" s="363"/>
      <c r="Y44" s="363"/>
    </row>
    <row r="45" spans="1:25">
      <c r="A45" s="204">
        <f t="shared" si="9"/>
        <v>32</v>
      </c>
      <c r="B45" s="502" t="s">
        <v>613</v>
      </c>
      <c r="C45" s="312">
        <v>564</v>
      </c>
      <c r="D45" s="314">
        <v>564</v>
      </c>
      <c r="E45" s="311">
        <v>33.840000000000003</v>
      </c>
      <c r="F45" s="269">
        <v>22.56</v>
      </c>
      <c r="G45" s="311">
        <f t="shared" si="0"/>
        <v>56.400000000000006</v>
      </c>
      <c r="H45" s="311">
        <v>0</v>
      </c>
      <c r="I45" s="311">
        <v>0</v>
      </c>
      <c r="J45" s="311">
        <f t="shared" si="1"/>
        <v>0</v>
      </c>
      <c r="K45" s="311">
        <v>33.840000000000003</v>
      </c>
      <c r="L45" s="269">
        <v>22.56</v>
      </c>
      <c r="M45" s="311">
        <f t="shared" si="13"/>
        <v>56.400000000000006</v>
      </c>
      <c r="N45" s="523">
        <v>23.69</v>
      </c>
      <c r="O45" s="524">
        <v>15.79</v>
      </c>
      <c r="P45" s="523">
        <f t="shared" si="3"/>
        <v>39.480000000000004</v>
      </c>
      <c r="Q45" s="311">
        <f t="shared" si="4"/>
        <v>10.150000000000002</v>
      </c>
      <c r="R45" s="311">
        <f t="shared" si="5"/>
        <v>6.77</v>
      </c>
      <c r="S45" s="311">
        <f t="shared" si="14"/>
        <v>16.920000000000002</v>
      </c>
      <c r="T45" s="311" t="s">
        <v>652</v>
      </c>
      <c r="U45" s="312">
        <f t="shared" si="12"/>
        <v>564</v>
      </c>
      <c r="V45" s="312">
        <f t="shared" si="8"/>
        <v>564</v>
      </c>
      <c r="X45" s="363"/>
      <c r="Y45" s="363"/>
    </row>
    <row r="46" spans="1:25">
      <c r="A46" s="204">
        <f t="shared" si="9"/>
        <v>33</v>
      </c>
      <c r="B46" s="502" t="s">
        <v>614</v>
      </c>
      <c r="C46" s="312">
        <v>1017</v>
      </c>
      <c r="D46" s="314">
        <v>1017</v>
      </c>
      <c r="E46" s="311">
        <v>61.02</v>
      </c>
      <c r="F46" s="269">
        <v>40.68</v>
      </c>
      <c r="G46" s="311">
        <f t="shared" si="0"/>
        <v>101.7</v>
      </c>
      <c r="H46" s="311">
        <v>0</v>
      </c>
      <c r="I46" s="311">
        <v>0</v>
      </c>
      <c r="J46" s="311">
        <f t="shared" si="1"/>
        <v>0</v>
      </c>
      <c r="K46" s="311">
        <v>61.02</v>
      </c>
      <c r="L46" s="269">
        <v>40.68</v>
      </c>
      <c r="M46" s="311">
        <f t="shared" si="13"/>
        <v>101.7</v>
      </c>
      <c r="N46" s="523">
        <v>42.71</v>
      </c>
      <c r="O46" s="524">
        <v>28.47</v>
      </c>
      <c r="P46" s="523">
        <f t="shared" si="3"/>
        <v>71.180000000000007</v>
      </c>
      <c r="Q46" s="311">
        <f t="shared" si="4"/>
        <v>18.310000000000002</v>
      </c>
      <c r="R46" s="311">
        <f t="shared" si="5"/>
        <v>12.21</v>
      </c>
      <c r="S46" s="311">
        <f t="shared" si="14"/>
        <v>30.519999999999996</v>
      </c>
      <c r="T46" s="311" t="s">
        <v>652</v>
      </c>
      <c r="U46" s="312">
        <f t="shared" si="12"/>
        <v>1017</v>
      </c>
      <c r="V46" s="312">
        <f t="shared" si="8"/>
        <v>1017</v>
      </c>
      <c r="X46" s="363"/>
      <c r="Y46" s="363"/>
    </row>
    <row r="47" spans="1:25" s="5" customFormat="1">
      <c r="A47" s="274"/>
      <c r="B47" s="274" t="s">
        <v>615</v>
      </c>
      <c r="C47" s="313">
        <f>SUM(C14:C46)</f>
        <v>34516</v>
      </c>
      <c r="D47" s="313">
        <f t="shared" ref="D47:V47" si="15">SUM(D14:D46)</f>
        <v>34503</v>
      </c>
      <c r="E47" s="289">
        <f t="shared" si="15"/>
        <v>2070.96</v>
      </c>
      <c r="F47" s="289">
        <f t="shared" si="15"/>
        <v>1380.64</v>
      </c>
      <c r="G47" s="289">
        <f t="shared" si="15"/>
        <v>3451.6</v>
      </c>
      <c r="H47" s="289">
        <f t="shared" si="15"/>
        <v>0</v>
      </c>
      <c r="I47" s="289">
        <f t="shared" si="15"/>
        <v>0</v>
      </c>
      <c r="J47" s="289">
        <f t="shared" si="15"/>
        <v>0</v>
      </c>
      <c r="K47" s="289">
        <f t="shared" si="15"/>
        <v>2070.96</v>
      </c>
      <c r="L47" s="289">
        <f t="shared" si="15"/>
        <v>1380.64</v>
      </c>
      <c r="M47" s="289">
        <f t="shared" si="15"/>
        <v>3451.6</v>
      </c>
      <c r="N47" s="289">
        <f t="shared" si="15"/>
        <v>1449.1200000000001</v>
      </c>
      <c r="O47" s="289">
        <f t="shared" si="15"/>
        <v>966.07999999999993</v>
      </c>
      <c r="P47" s="289">
        <f t="shared" si="15"/>
        <v>2415.2000000000003</v>
      </c>
      <c r="Q47" s="289">
        <f t="shared" si="15"/>
        <v>621.83999999999992</v>
      </c>
      <c r="R47" s="289">
        <f t="shared" si="15"/>
        <v>414.55999999999995</v>
      </c>
      <c r="S47" s="289">
        <f t="shared" si="15"/>
        <v>1036.3999999999999</v>
      </c>
      <c r="T47" s="289"/>
      <c r="U47" s="313">
        <f t="shared" si="15"/>
        <v>34503</v>
      </c>
      <c r="V47" s="313">
        <f t="shared" si="15"/>
        <v>34503</v>
      </c>
    </row>
    <row r="48" spans="1:25">
      <c r="C48" s="367"/>
      <c r="E48" s="367"/>
      <c r="F48" s="367"/>
      <c r="G48" s="367"/>
      <c r="H48" s="363"/>
      <c r="I48" s="363"/>
      <c r="L48" s="363"/>
      <c r="V48" s="623"/>
    </row>
    <row r="49" spans="8:22" s="656" customFormat="1">
      <c r="H49" s="363"/>
      <c r="I49" s="363"/>
      <c r="L49" s="363"/>
      <c r="V49" s="662"/>
    </row>
    <row r="50" spans="8:22" s="656" customFormat="1">
      <c r="H50" s="363"/>
      <c r="I50" s="363"/>
      <c r="L50" s="363"/>
      <c r="V50" s="662"/>
    </row>
    <row r="51" spans="8:22" s="656" customFormat="1">
      <c r="H51" s="363"/>
      <c r="I51" s="363"/>
      <c r="L51" s="363"/>
      <c r="V51" s="662"/>
    </row>
    <row r="52" spans="8:22" s="332" customFormat="1">
      <c r="K52" s="497"/>
    </row>
    <row r="53" spans="8:22">
      <c r="K53" s="374"/>
      <c r="L53" s="374"/>
    </row>
    <row r="54" spans="8:22" ht="15.75">
      <c r="R54" s="761" t="s">
        <v>908</v>
      </c>
      <c r="S54" s="761"/>
      <c r="T54" s="761"/>
      <c r="U54" s="761"/>
      <c r="V54" s="761"/>
    </row>
    <row r="55" spans="8:22" ht="15.75">
      <c r="R55" s="761" t="s">
        <v>646</v>
      </c>
      <c r="S55" s="761"/>
      <c r="T55" s="761"/>
      <c r="U55" s="761"/>
      <c r="V55" s="761"/>
    </row>
  </sheetData>
  <mergeCells count="20">
    <mergeCell ref="R54:V54"/>
    <mergeCell ref="R55:V55"/>
    <mergeCell ref="A8:V8"/>
    <mergeCell ref="H11:J11"/>
    <mergeCell ref="Q11:S11"/>
    <mergeCell ref="E11:G11"/>
    <mergeCell ref="V11:V12"/>
    <mergeCell ref="T1:V1"/>
    <mergeCell ref="A5:Q5"/>
    <mergeCell ref="P9:S9"/>
    <mergeCell ref="C11:C12"/>
    <mergeCell ref="B11:B12"/>
    <mergeCell ref="N11:P11"/>
    <mergeCell ref="A11:A12"/>
    <mergeCell ref="U11:U12"/>
    <mergeCell ref="T11:T12"/>
    <mergeCell ref="K11:M11"/>
    <mergeCell ref="D11:D12"/>
    <mergeCell ref="A4:V4"/>
    <mergeCell ref="A3:V3"/>
  </mergeCells>
  <printOptions horizontalCentered="1"/>
  <pageMargins left="0.42" right="0.37" top="0.43" bottom="0" header="0.31496062992125984" footer="0.31496062992125984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70" zoomScaleNormal="70" zoomScaleSheetLayoutView="70" workbookViewId="0"/>
  </sheetViews>
  <sheetFormatPr defaultRowHeight="12.75"/>
  <cols>
    <col min="1" max="1" width="9.140625" style="173"/>
    <col min="2" max="2" width="18.5703125" style="173" customWidth="1"/>
    <col min="3" max="3" width="14.7109375" style="173" customWidth="1"/>
    <col min="4" max="4" width="11.140625" style="173" customWidth="1"/>
    <col min="5" max="5" width="12.42578125" style="173" customWidth="1"/>
    <col min="6" max="6" width="12" style="173" customWidth="1"/>
    <col min="7" max="7" width="13.140625" style="173" customWidth="1"/>
    <col min="8" max="11" width="9.140625" style="173"/>
    <col min="12" max="12" width="9.28515625" style="173" bestFit="1" customWidth="1"/>
    <col min="13" max="19" width="9.140625" style="173"/>
    <col min="20" max="20" width="10.42578125" style="173" customWidth="1"/>
    <col min="21" max="21" width="11.140625" style="173" customWidth="1"/>
    <col min="22" max="22" width="11.85546875" style="173" customWidth="1"/>
    <col min="23" max="16384" width="9.140625" style="173"/>
  </cols>
  <sheetData>
    <row r="1" spans="1:25" ht="15">
      <c r="T1" s="862" t="s">
        <v>201</v>
      </c>
      <c r="U1" s="862"/>
      <c r="V1" s="862"/>
    </row>
    <row r="3" spans="1:25" ht="15.75">
      <c r="A3" s="702" t="s">
        <v>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</row>
    <row r="4" spans="1:25" ht="20.25">
      <c r="A4" s="763" t="s">
        <v>737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</row>
    <row r="5" spans="1:25" ht="15.75">
      <c r="A5" s="863" t="s">
        <v>661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</row>
    <row r="6" spans="1:25">
      <c r="A6" s="21"/>
      <c r="B6" s="21"/>
      <c r="C6" s="7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U6" s="21"/>
    </row>
    <row r="7" spans="1:25" ht="15.75">
      <c r="A7" s="704" t="s">
        <v>425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</row>
    <row r="8" spans="1:25" ht="15.75">
      <c r="A8" s="158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U8" s="21"/>
      <c r="V8" s="21" t="s">
        <v>219</v>
      </c>
      <c r="W8" s="21"/>
    </row>
    <row r="9" spans="1:25">
      <c r="T9" s="30"/>
      <c r="U9" s="528" t="s">
        <v>777</v>
      </c>
      <c r="V9" s="380"/>
    </row>
    <row r="10" spans="1:25" ht="28.5" customHeight="1">
      <c r="A10" s="866" t="s">
        <v>20</v>
      </c>
      <c r="B10" s="795" t="s">
        <v>199</v>
      </c>
      <c r="C10" s="795" t="s">
        <v>359</v>
      </c>
      <c r="D10" s="795" t="s">
        <v>469</v>
      </c>
      <c r="E10" s="701" t="s">
        <v>742</v>
      </c>
      <c r="F10" s="701"/>
      <c r="G10" s="701"/>
      <c r="H10" s="677" t="s">
        <v>769</v>
      </c>
      <c r="I10" s="678"/>
      <c r="J10" s="679"/>
      <c r="K10" s="854" t="s">
        <v>361</v>
      </c>
      <c r="L10" s="855"/>
      <c r="M10" s="856"/>
      <c r="N10" s="806" t="s">
        <v>152</v>
      </c>
      <c r="O10" s="865"/>
      <c r="P10" s="800"/>
      <c r="Q10" s="668" t="s">
        <v>779</v>
      </c>
      <c r="R10" s="668"/>
      <c r="S10" s="668"/>
      <c r="T10" s="795" t="s">
        <v>242</v>
      </c>
      <c r="U10" s="795" t="s">
        <v>414</v>
      </c>
      <c r="V10" s="795" t="s">
        <v>362</v>
      </c>
    </row>
    <row r="11" spans="1:25" ht="69" customHeight="1">
      <c r="A11" s="867"/>
      <c r="B11" s="796"/>
      <c r="C11" s="796"/>
      <c r="D11" s="796"/>
      <c r="E11" s="150" t="s">
        <v>172</v>
      </c>
      <c r="F11" s="150" t="s">
        <v>200</v>
      </c>
      <c r="G11" s="150" t="s">
        <v>16</v>
      </c>
      <c r="H11" s="150" t="s">
        <v>172</v>
      </c>
      <c r="I11" s="150" t="s">
        <v>200</v>
      </c>
      <c r="J11" s="150" t="s">
        <v>16</v>
      </c>
      <c r="K11" s="150" t="s">
        <v>172</v>
      </c>
      <c r="L11" s="150" t="s">
        <v>200</v>
      </c>
      <c r="M11" s="150" t="s">
        <v>16</v>
      </c>
      <c r="N11" s="150" t="s">
        <v>172</v>
      </c>
      <c r="O11" s="150" t="s">
        <v>200</v>
      </c>
      <c r="P11" s="150" t="s">
        <v>16</v>
      </c>
      <c r="Q11" s="150" t="s">
        <v>229</v>
      </c>
      <c r="R11" s="150" t="s">
        <v>211</v>
      </c>
      <c r="S11" s="150" t="s">
        <v>212</v>
      </c>
      <c r="T11" s="796"/>
      <c r="U11" s="796"/>
      <c r="V11" s="796"/>
    </row>
    <row r="12" spans="1:25">
      <c r="A12" s="75">
        <v>1</v>
      </c>
      <c r="B12" s="48">
        <v>2</v>
      </c>
      <c r="C12" s="143">
        <v>3</v>
      </c>
      <c r="D12" s="75">
        <v>4</v>
      </c>
      <c r="E12" s="48">
        <v>5</v>
      </c>
      <c r="F12" s="143">
        <v>6</v>
      </c>
      <c r="G12" s="75">
        <v>7</v>
      </c>
      <c r="H12" s="48">
        <v>8</v>
      </c>
      <c r="I12" s="143">
        <v>9</v>
      </c>
      <c r="J12" s="75">
        <v>10</v>
      </c>
      <c r="K12" s="48">
        <v>11</v>
      </c>
      <c r="L12" s="143">
        <v>12</v>
      </c>
      <c r="M12" s="75">
        <v>13</v>
      </c>
      <c r="N12" s="48">
        <v>14</v>
      </c>
      <c r="O12" s="143">
        <v>15</v>
      </c>
      <c r="P12" s="75">
        <v>16</v>
      </c>
      <c r="Q12" s="48">
        <v>17</v>
      </c>
      <c r="R12" s="143">
        <v>18</v>
      </c>
      <c r="S12" s="75">
        <v>19</v>
      </c>
      <c r="T12" s="48">
        <v>20</v>
      </c>
      <c r="U12" s="75">
        <v>21</v>
      </c>
      <c r="V12" s="48">
        <v>22</v>
      </c>
    </row>
    <row r="13" spans="1:25">
      <c r="A13" s="204">
        <v>1</v>
      </c>
      <c r="B13" s="204" t="s">
        <v>624</v>
      </c>
      <c r="C13" s="8">
        <v>619</v>
      </c>
      <c r="D13" s="8">
        <v>619</v>
      </c>
      <c r="E13" s="306">
        <v>37.14</v>
      </c>
      <c r="F13" s="306">
        <v>24.76</v>
      </c>
      <c r="G13" s="306">
        <f>SUM(E13:F13)</f>
        <v>61.900000000000006</v>
      </c>
      <c r="H13" s="306">
        <v>0</v>
      </c>
      <c r="I13" s="306">
        <v>0</v>
      </c>
      <c r="J13" s="306">
        <f>SUM(H13:I13)</f>
        <v>0</v>
      </c>
      <c r="K13" s="306">
        <v>37.14</v>
      </c>
      <c r="L13" s="306">
        <v>24.76</v>
      </c>
      <c r="M13" s="306">
        <f>SUM(K13:L13)</f>
        <v>61.900000000000006</v>
      </c>
      <c r="N13" s="306">
        <v>26</v>
      </c>
      <c r="O13" s="306">
        <v>17.329999999999998</v>
      </c>
      <c r="P13" s="306">
        <f>SUM(N13:O13)</f>
        <v>43.33</v>
      </c>
      <c r="Q13" s="306">
        <f>H13+K13-N13</f>
        <v>11.14</v>
      </c>
      <c r="R13" s="306">
        <f>I13+L13-O13</f>
        <v>7.4300000000000033</v>
      </c>
      <c r="S13" s="306">
        <f>J13+M13-P13</f>
        <v>18.570000000000007</v>
      </c>
      <c r="T13" s="306" t="s">
        <v>652</v>
      </c>
      <c r="U13" s="8">
        <f>D13</f>
        <v>619</v>
      </c>
      <c r="V13" s="8">
        <f>D13</f>
        <v>619</v>
      </c>
      <c r="W13" s="363"/>
      <c r="X13" s="363"/>
      <c r="Y13" s="363"/>
    </row>
    <row r="14" spans="1:25">
      <c r="A14" s="204">
        <f>A13+1</f>
        <v>2</v>
      </c>
      <c r="B14" s="204" t="s">
        <v>589</v>
      </c>
      <c r="C14" s="8">
        <v>586</v>
      </c>
      <c r="D14" s="8">
        <v>584</v>
      </c>
      <c r="E14" s="306">
        <v>35.159999999999997</v>
      </c>
      <c r="F14" s="306">
        <v>23.44</v>
      </c>
      <c r="G14" s="306">
        <f t="shared" ref="G14:G45" si="0">SUM(E14:F14)</f>
        <v>58.599999999999994</v>
      </c>
      <c r="H14" s="306">
        <v>0</v>
      </c>
      <c r="I14" s="306">
        <v>0</v>
      </c>
      <c r="J14" s="306">
        <f t="shared" ref="J14:J45" si="1">SUM(H14:I14)</f>
        <v>0</v>
      </c>
      <c r="K14" s="306">
        <v>35.159999999999997</v>
      </c>
      <c r="L14" s="306">
        <v>23.44</v>
      </c>
      <c r="M14" s="306">
        <f t="shared" ref="M14:M45" si="2">SUM(K14:L14)</f>
        <v>58.599999999999994</v>
      </c>
      <c r="N14" s="306">
        <v>24.53</v>
      </c>
      <c r="O14" s="306">
        <v>16.350000000000001</v>
      </c>
      <c r="P14" s="306">
        <f t="shared" ref="P14:P45" si="3">SUM(N14:O14)</f>
        <v>40.880000000000003</v>
      </c>
      <c r="Q14" s="306">
        <f t="shared" ref="Q14:Q45" si="4">H14+K14-N14</f>
        <v>10.629999999999995</v>
      </c>
      <c r="R14" s="306">
        <f t="shared" ref="R14:R45" si="5">I14+L14-O14</f>
        <v>7.09</v>
      </c>
      <c r="S14" s="306">
        <f t="shared" ref="S14:S45" si="6">J14+M14-P14</f>
        <v>17.719999999999992</v>
      </c>
      <c r="T14" s="306" t="s">
        <v>652</v>
      </c>
      <c r="U14" s="546">
        <f t="shared" ref="U14:U45" si="7">D14</f>
        <v>584</v>
      </c>
      <c r="V14" s="8">
        <f t="shared" ref="V14:V45" si="8">D14</f>
        <v>584</v>
      </c>
      <c r="W14" s="363"/>
      <c r="X14" s="363"/>
      <c r="Y14" s="363"/>
    </row>
    <row r="15" spans="1:25">
      <c r="A15" s="204">
        <f t="shared" ref="A15:A45" si="9">A14+1</f>
        <v>3</v>
      </c>
      <c r="B15" s="204" t="s">
        <v>625</v>
      </c>
      <c r="C15" s="8">
        <v>283</v>
      </c>
      <c r="D15" s="8">
        <v>283</v>
      </c>
      <c r="E15" s="306">
        <v>16.98</v>
      </c>
      <c r="F15" s="306">
        <v>11.32</v>
      </c>
      <c r="G15" s="306">
        <f t="shared" si="0"/>
        <v>28.3</v>
      </c>
      <c r="H15" s="306">
        <v>0</v>
      </c>
      <c r="I15" s="306">
        <v>0</v>
      </c>
      <c r="J15" s="306">
        <f t="shared" si="1"/>
        <v>0</v>
      </c>
      <c r="K15" s="306">
        <v>16.98</v>
      </c>
      <c r="L15" s="306">
        <v>11.32</v>
      </c>
      <c r="M15" s="306">
        <f t="shared" si="2"/>
        <v>28.3</v>
      </c>
      <c r="N15" s="306">
        <v>11.89</v>
      </c>
      <c r="O15" s="306">
        <v>7.92</v>
      </c>
      <c r="P15" s="306">
        <f t="shared" si="3"/>
        <v>19.810000000000002</v>
      </c>
      <c r="Q15" s="306">
        <f t="shared" si="4"/>
        <v>5.09</v>
      </c>
      <c r="R15" s="306">
        <f t="shared" si="5"/>
        <v>3.4000000000000004</v>
      </c>
      <c r="S15" s="306">
        <f t="shared" si="6"/>
        <v>8.4899999999999984</v>
      </c>
      <c r="T15" s="306" t="s">
        <v>652</v>
      </c>
      <c r="U15" s="546">
        <f t="shared" si="7"/>
        <v>283</v>
      </c>
      <c r="V15" s="8">
        <f t="shared" si="8"/>
        <v>283</v>
      </c>
      <c r="W15" s="363"/>
      <c r="X15" s="363"/>
      <c r="Y15" s="363"/>
    </row>
    <row r="16" spans="1:25">
      <c r="A16" s="204">
        <f t="shared" si="9"/>
        <v>4</v>
      </c>
      <c r="B16" s="204" t="s">
        <v>590</v>
      </c>
      <c r="C16" s="8">
        <v>768</v>
      </c>
      <c r="D16" s="8">
        <v>768</v>
      </c>
      <c r="E16" s="306">
        <v>46.08</v>
      </c>
      <c r="F16" s="306">
        <v>30.72</v>
      </c>
      <c r="G16" s="306">
        <f t="shared" si="0"/>
        <v>76.8</v>
      </c>
      <c r="H16" s="306">
        <v>0</v>
      </c>
      <c r="I16" s="306">
        <v>0</v>
      </c>
      <c r="J16" s="306">
        <f t="shared" si="1"/>
        <v>0</v>
      </c>
      <c r="K16" s="306">
        <v>46.08</v>
      </c>
      <c r="L16" s="306">
        <v>30.72</v>
      </c>
      <c r="M16" s="306">
        <f t="shared" si="2"/>
        <v>76.8</v>
      </c>
      <c r="N16" s="306">
        <v>32.26</v>
      </c>
      <c r="O16" s="306">
        <v>21.5</v>
      </c>
      <c r="P16" s="306">
        <f t="shared" si="3"/>
        <v>53.76</v>
      </c>
      <c r="Q16" s="306">
        <f t="shared" si="4"/>
        <v>13.82</v>
      </c>
      <c r="R16" s="306">
        <f t="shared" si="5"/>
        <v>9.2199999999999989</v>
      </c>
      <c r="S16" s="306">
        <f t="shared" si="6"/>
        <v>23.04</v>
      </c>
      <c r="T16" s="306" t="s">
        <v>652</v>
      </c>
      <c r="U16" s="546">
        <f t="shared" si="7"/>
        <v>768</v>
      </c>
      <c r="V16" s="8">
        <f t="shared" si="8"/>
        <v>768</v>
      </c>
      <c r="W16" s="363"/>
      <c r="X16" s="363"/>
      <c r="Y16" s="363"/>
    </row>
    <row r="17" spans="1:25">
      <c r="A17" s="204">
        <f t="shared" si="9"/>
        <v>5</v>
      </c>
      <c r="B17" s="204" t="s">
        <v>591</v>
      </c>
      <c r="C17" s="8">
        <v>492</v>
      </c>
      <c r="D17" s="8">
        <v>492</v>
      </c>
      <c r="E17" s="306">
        <v>29.52</v>
      </c>
      <c r="F17" s="306">
        <v>19.68</v>
      </c>
      <c r="G17" s="306">
        <f t="shared" si="0"/>
        <v>49.2</v>
      </c>
      <c r="H17" s="306">
        <v>0</v>
      </c>
      <c r="I17" s="306">
        <v>0</v>
      </c>
      <c r="J17" s="306">
        <f t="shared" si="1"/>
        <v>0</v>
      </c>
      <c r="K17" s="306">
        <v>29.52</v>
      </c>
      <c r="L17" s="306">
        <v>19.68</v>
      </c>
      <c r="M17" s="306">
        <f t="shared" si="2"/>
        <v>49.2</v>
      </c>
      <c r="N17" s="306">
        <v>20.66</v>
      </c>
      <c r="O17" s="306">
        <v>13.78</v>
      </c>
      <c r="P17" s="306">
        <f t="shared" si="3"/>
        <v>34.44</v>
      </c>
      <c r="Q17" s="306">
        <f t="shared" si="4"/>
        <v>8.86</v>
      </c>
      <c r="R17" s="306">
        <f t="shared" si="5"/>
        <v>5.9</v>
      </c>
      <c r="S17" s="306">
        <f t="shared" si="6"/>
        <v>14.760000000000005</v>
      </c>
      <c r="T17" s="306" t="s">
        <v>652</v>
      </c>
      <c r="U17" s="546">
        <f t="shared" si="7"/>
        <v>492</v>
      </c>
      <c r="V17" s="8">
        <f t="shared" si="8"/>
        <v>492</v>
      </c>
      <c r="W17" s="363"/>
      <c r="X17" s="363"/>
      <c r="Y17" s="363"/>
    </row>
    <row r="18" spans="1:25">
      <c r="A18" s="204">
        <f t="shared" si="9"/>
        <v>6</v>
      </c>
      <c r="B18" s="204" t="s">
        <v>592</v>
      </c>
      <c r="C18" s="8">
        <v>358</v>
      </c>
      <c r="D18" s="8">
        <v>358</v>
      </c>
      <c r="E18" s="306">
        <v>21.48</v>
      </c>
      <c r="F18" s="306">
        <v>14.32</v>
      </c>
      <c r="G18" s="306">
        <f t="shared" si="0"/>
        <v>35.799999999999997</v>
      </c>
      <c r="H18" s="306">
        <v>0</v>
      </c>
      <c r="I18" s="306">
        <v>0</v>
      </c>
      <c r="J18" s="306">
        <f t="shared" si="1"/>
        <v>0</v>
      </c>
      <c r="K18" s="306">
        <v>21.48</v>
      </c>
      <c r="L18" s="306">
        <v>14.32</v>
      </c>
      <c r="M18" s="306">
        <f t="shared" si="2"/>
        <v>35.799999999999997</v>
      </c>
      <c r="N18" s="306">
        <v>15.04</v>
      </c>
      <c r="O18" s="306">
        <v>10.02</v>
      </c>
      <c r="P18" s="306">
        <f t="shared" si="3"/>
        <v>25.06</v>
      </c>
      <c r="Q18" s="306">
        <f t="shared" si="4"/>
        <v>6.4400000000000013</v>
      </c>
      <c r="R18" s="306">
        <f t="shared" si="5"/>
        <v>4.3000000000000007</v>
      </c>
      <c r="S18" s="306">
        <f t="shared" si="6"/>
        <v>10.739999999999998</v>
      </c>
      <c r="T18" s="306" t="s">
        <v>652</v>
      </c>
      <c r="U18" s="546">
        <f t="shared" si="7"/>
        <v>358</v>
      </c>
      <c r="V18" s="8">
        <f t="shared" si="8"/>
        <v>358</v>
      </c>
      <c r="W18" s="363"/>
      <c r="X18" s="363"/>
      <c r="Y18" s="363"/>
    </row>
    <row r="19" spans="1:25">
      <c r="A19" s="204">
        <f t="shared" si="9"/>
        <v>7</v>
      </c>
      <c r="B19" s="204" t="s">
        <v>593</v>
      </c>
      <c r="C19" s="8">
        <v>402</v>
      </c>
      <c r="D19" s="8">
        <v>402</v>
      </c>
      <c r="E19" s="306">
        <v>24.12</v>
      </c>
      <c r="F19" s="306">
        <v>16.079999999999998</v>
      </c>
      <c r="G19" s="306">
        <f t="shared" si="0"/>
        <v>40.200000000000003</v>
      </c>
      <c r="H19" s="306">
        <v>0</v>
      </c>
      <c r="I19" s="306">
        <v>0</v>
      </c>
      <c r="J19" s="306">
        <f t="shared" si="1"/>
        <v>0</v>
      </c>
      <c r="K19" s="306">
        <v>24.12</v>
      </c>
      <c r="L19" s="306">
        <v>16.079999999999998</v>
      </c>
      <c r="M19" s="306">
        <f t="shared" si="2"/>
        <v>40.200000000000003</v>
      </c>
      <c r="N19" s="306">
        <v>16.88</v>
      </c>
      <c r="O19" s="306">
        <v>11.26</v>
      </c>
      <c r="P19" s="306">
        <f t="shared" si="3"/>
        <v>28.14</v>
      </c>
      <c r="Q19" s="306">
        <f t="shared" si="4"/>
        <v>7.240000000000002</v>
      </c>
      <c r="R19" s="306">
        <f t="shared" si="5"/>
        <v>4.8199999999999985</v>
      </c>
      <c r="S19" s="306">
        <f t="shared" si="6"/>
        <v>12.060000000000002</v>
      </c>
      <c r="T19" s="306" t="s">
        <v>652</v>
      </c>
      <c r="U19" s="546">
        <f t="shared" si="7"/>
        <v>402</v>
      </c>
      <c r="V19" s="8">
        <f t="shared" si="8"/>
        <v>402</v>
      </c>
      <c r="W19" s="363"/>
      <c r="X19" s="363"/>
      <c r="Y19" s="363"/>
    </row>
    <row r="20" spans="1:25">
      <c r="A20" s="204">
        <f t="shared" si="9"/>
        <v>8</v>
      </c>
      <c r="B20" s="204" t="s">
        <v>594</v>
      </c>
      <c r="C20" s="8">
        <v>901</v>
      </c>
      <c r="D20" s="8">
        <v>901</v>
      </c>
      <c r="E20" s="306">
        <v>54.06</v>
      </c>
      <c r="F20" s="306">
        <v>36.04</v>
      </c>
      <c r="G20" s="306">
        <f t="shared" si="0"/>
        <v>90.1</v>
      </c>
      <c r="H20" s="306">
        <v>0</v>
      </c>
      <c r="I20" s="306">
        <v>0</v>
      </c>
      <c r="J20" s="306">
        <f t="shared" si="1"/>
        <v>0</v>
      </c>
      <c r="K20" s="306">
        <v>54.06</v>
      </c>
      <c r="L20" s="306">
        <v>36.04</v>
      </c>
      <c r="M20" s="306">
        <f t="shared" si="2"/>
        <v>90.1</v>
      </c>
      <c r="N20" s="306">
        <v>37.840000000000003</v>
      </c>
      <c r="O20" s="306">
        <v>25.23</v>
      </c>
      <c r="P20" s="306">
        <f t="shared" si="3"/>
        <v>63.070000000000007</v>
      </c>
      <c r="Q20" s="306">
        <f t="shared" si="4"/>
        <v>16.22</v>
      </c>
      <c r="R20" s="306">
        <f t="shared" si="5"/>
        <v>10.809999999999999</v>
      </c>
      <c r="S20" s="306">
        <f t="shared" si="6"/>
        <v>27.029999999999987</v>
      </c>
      <c r="T20" s="306" t="s">
        <v>652</v>
      </c>
      <c r="U20" s="546">
        <f t="shared" si="7"/>
        <v>901</v>
      </c>
      <c r="V20" s="8">
        <f t="shared" si="8"/>
        <v>901</v>
      </c>
      <c r="W20" s="363"/>
      <c r="X20" s="363"/>
      <c r="Y20" s="363"/>
    </row>
    <row r="21" spans="1:25">
      <c r="A21" s="204">
        <f t="shared" si="9"/>
        <v>9</v>
      </c>
      <c r="B21" s="204" t="s">
        <v>595</v>
      </c>
      <c r="C21" s="8">
        <v>556</v>
      </c>
      <c r="D21" s="8">
        <v>556</v>
      </c>
      <c r="E21" s="306">
        <v>33.36</v>
      </c>
      <c r="F21" s="306">
        <v>22.24</v>
      </c>
      <c r="G21" s="306">
        <f t="shared" si="0"/>
        <v>55.599999999999994</v>
      </c>
      <c r="H21" s="306">
        <v>0</v>
      </c>
      <c r="I21" s="306">
        <v>0</v>
      </c>
      <c r="J21" s="306">
        <f t="shared" si="1"/>
        <v>0</v>
      </c>
      <c r="K21" s="306">
        <v>33.36</v>
      </c>
      <c r="L21" s="306">
        <v>22.24</v>
      </c>
      <c r="M21" s="306">
        <f t="shared" si="2"/>
        <v>55.599999999999994</v>
      </c>
      <c r="N21" s="306">
        <v>23.35</v>
      </c>
      <c r="O21" s="306">
        <v>15.57</v>
      </c>
      <c r="P21" s="306">
        <f t="shared" si="3"/>
        <v>38.92</v>
      </c>
      <c r="Q21" s="306">
        <f t="shared" si="4"/>
        <v>10.009999999999998</v>
      </c>
      <c r="R21" s="306">
        <f t="shared" si="5"/>
        <v>6.6699999999999982</v>
      </c>
      <c r="S21" s="306">
        <f t="shared" si="6"/>
        <v>16.679999999999993</v>
      </c>
      <c r="T21" s="306" t="s">
        <v>652</v>
      </c>
      <c r="U21" s="546">
        <f t="shared" si="7"/>
        <v>556</v>
      </c>
      <c r="V21" s="8">
        <f t="shared" si="8"/>
        <v>556</v>
      </c>
      <c r="W21" s="363"/>
      <c r="X21" s="363"/>
      <c r="Y21" s="363"/>
    </row>
    <row r="22" spans="1:25">
      <c r="A22" s="204">
        <f t="shared" si="9"/>
        <v>10</v>
      </c>
      <c r="B22" s="204" t="s">
        <v>596</v>
      </c>
      <c r="C22" s="8">
        <v>984</v>
      </c>
      <c r="D22" s="8">
        <v>981</v>
      </c>
      <c r="E22" s="306">
        <v>59.04</v>
      </c>
      <c r="F22" s="306">
        <v>39.36</v>
      </c>
      <c r="G22" s="306">
        <f t="shared" si="0"/>
        <v>98.4</v>
      </c>
      <c r="H22" s="306">
        <v>0</v>
      </c>
      <c r="I22" s="306">
        <v>0</v>
      </c>
      <c r="J22" s="306">
        <f t="shared" si="1"/>
        <v>0</v>
      </c>
      <c r="K22" s="306">
        <v>59.04</v>
      </c>
      <c r="L22" s="306">
        <v>39.36</v>
      </c>
      <c r="M22" s="306">
        <f t="shared" si="2"/>
        <v>98.4</v>
      </c>
      <c r="N22" s="306">
        <v>41.2</v>
      </c>
      <c r="O22" s="306">
        <v>27.47</v>
      </c>
      <c r="P22" s="306">
        <f t="shared" si="3"/>
        <v>68.67</v>
      </c>
      <c r="Q22" s="306">
        <f t="shared" si="4"/>
        <v>17.839999999999996</v>
      </c>
      <c r="R22" s="306">
        <f t="shared" si="5"/>
        <v>11.89</v>
      </c>
      <c r="S22" s="306">
        <f t="shared" si="6"/>
        <v>29.730000000000004</v>
      </c>
      <c r="T22" s="306" t="s">
        <v>652</v>
      </c>
      <c r="U22" s="546">
        <f t="shared" si="7"/>
        <v>981</v>
      </c>
      <c r="V22" s="8">
        <f t="shared" si="8"/>
        <v>981</v>
      </c>
      <c r="W22" s="363"/>
      <c r="X22" s="363"/>
      <c r="Y22" s="363"/>
    </row>
    <row r="23" spans="1:25">
      <c r="A23" s="204">
        <f t="shared" si="9"/>
        <v>11</v>
      </c>
      <c r="B23" s="204" t="s">
        <v>626</v>
      </c>
      <c r="C23" s="8">
        <v>430</v>
      </c>
      <c r="D23" s="8">
        <v>430</v>
      </c>
      <c r="E23" s="306">
        <v>25.8</v>
      </c>
      <c r="F23" s="306">
        <v>17.2</v>
      </c>
      <c r="G23" s="306">
        <f t="shared" si="0"/>
        <v>43</v>
      </c>
      <c r="H23" s="306">
        <v>0</v>
      </c>
      <c r="I23" s="306">
        <v>0</v>
      </c>
      <c r="J23" s="306">
        <f t="shared" si="1"/>
        <v>0</v>
      </c>
      <c r="K23" s="306">
        <v>25.8</v>
      </c>
      <c r="L23" s="306">
        <v>17.2</v>
      </c>
      <c r="M23" s="306">
        <f t="shared" si="2"/>
        <v>43</v>
      </c>
      <c r="N23" s="306">
        <v>18.059999999999999</v>
      </c>
      <c r="O23" s="306">
        <v>12.04</v>
      </c>
      <c r="P23" s="306">
        <f t="shared" si="3"/>
        <v>30.099999999999998</v>
      </c>
      <c r="Q23" s="306">
        <f t="shared" si="4"/>
        <v>7.740000000000002</v>
      </c>
      <c r="R23" s="306">
        <f t="shared" si="5"/>
        <v>5.16</v>
      </c>
      <c r="S23" s="306">
        <f t="shared" si="6"/>
        <v>12.900000000000002</v>
      </c>
      <c r="T23" s="306" t="s">
        <v>652</v>
      </c>
      <c r="U23" s="546">
        <f t="shared" si="7"/>
        <v>430</v>
      </c>
      <c r="V23" s="8">
        <f t="shared" si="8"/>
        <v>430</v>
      </c>
      <c r="W23" s="363"/>
      <c r="X23" s="363"/>
      <c r="Y23" s="363"/>
    </row>
    <row r="24" spans="1:25">
      <c r="A24" s="204">
        <f t="shared" si="9"/>
        <v>12</v>
      </c>
      <c r="B24" s="204" t="s">
        <v>597</v>
      </c>
      <c r="C24" s="8">
        <v>557</v>
      </c>
      <c r="D24" s="8">
        <v>557</v>
      </c>
      <c r="E24" s="306">
        <v>33.42</v>
      </c>
      <c r="F24" s="306">
        <v>22.28</v>
      </c>
      <c r="G24" s="306">
        <f t="shared" si="0"/>
        <v>55.7</v>
      </c>
      <c r="H24" s="306">
        <v>0</v>
      </c>
      <c r="I24" s="306">
        <v>0</v>
      </c>
      <c r="J24" s="306">
        <f t="shared" si="1"/>
        <v>0</v>
      </c>
      <c r="K24" s="306">
        <v>33.42</v>
      </c>
      <c r="L24" s="306">
        <v>22.28</v>
      </c>
      <c r="M24" s="306">
        <f t="shared" si="2"/>
        <v>55.7</v>
      </c>
      <c r="N24" s="306">
        <v>23.39</v>
      </c>
      <c r="O24" s="306">
        <v>15.6</v>
      </c>
      <c r="P24" s="306">
        <f t="shared" si="3"/>
        <v>38.99</v>
      </c>
      <c r="Q24" s="306">
        <f t="shared" si="4"/>
        <v>10.030000000000001</v>
      </c>
      <c r="R24" s="306">
        <f t="shared" si="5"/>
        <v>6.6800000000000015</v>
      </c>
      <c r="S24" s="306">
        <f t="shared" si="6"/>
        <v>16.71</v>
      </c>
      <c r="T24" s="306" t="s">
        <v>652</v>
      </c>
      <c r="U24" s="546">
        <f t="shared" si="7"/>
        <v>557</v>
      </c>
      <c r="V24" s="8">
        <f t="shared" si="8"/>
        <v>557</v>
      </c>
      <c r="W24" s="363"/>
      <c r="X24" s="363"/>
      <c r="Y24" s="363"/>
    </row>
    <row r="25" spans="1:25">
      <c r="A25" s="204">
        <f t="shared" si="9"/>
        <v>13</v>
      </c>
      <c r="B25" s="204" t="s">
        <v>598</v>
      </c>
      <c r="C25" s="8">
        <v>789</v>
      </c>
      <c r="D25" s="8">
        <v>789</v>
      </c>
      <c r="E25" s="306">
        <v>47.34</v>
      </c>
      <c r="F25" s="306">
        <v>31.56</v>
      </c>
      <c r="G25" s="306">
        <f t="shared" si="0"/>
        <v>78.900000000000006</v>
      </c>
      <c r="H25" s="306">
        <v>0</v>
      </c>
      <c r="I25" s="306">
        <v>0</v>
      </c>
      <c r="J25" s="306">
        <f t="shared" si="1"/>
        <v>0</v>
      </c>
      <c r="K25" s="306">
        <v>47.34</v>
      </c>
      <c r="L25" s="306">
        <v>31.56</v>
      </c>
      <c r="M25" s="306">
        <f t="shared" si="2"/>
        <v>78.900000000000006</v>
      </c>
      <c r="N25" s="306">
        <v>33.14</v>
      </c>
      <c r="O25" s="306">
        <v>22.09</v>
      </c>
      <c r="P25" s="306">
        <f t="shared" si="3"/>
        <v>55.230000000000004</v>
      </c>
      <c r="Q25" s="306">
        <f t="shared" si="4"/>
        <v>14.200000000000003</v>
      </c>
      <c r="R25" s="306">
        <f t="shared" si="5"/>
        <v>9.4699999999999989</v>
      </c>
      <c r="S25" s="306">
        <f t="shared" si="6"/>
        <v>23.67</v>
      </c>
      <c r="T25" s="306" t="s">
        <v>652</v>
      </c>
      <c r="U25" s="546">
        <f t="shared" si="7"/>
        <v>789</v>
      </c>
      <c r="V25" s="546">
        <f t="shared" si="8"/>
        <v>789</v>
      </c>
      <c r="W25" s="363"/>
      <c r="X25" s="363"/>
      <c r="Y25" s="363"/>
    </row>
    <row r="26" spans="1:25">
      <c r="A26" s="204">
        <f t="shared" si="9"/>
        <v>14</v>
      </c>
      <c r="B26" s="204" t="s">
        <v>627</v>
      </c>
      <c r="C26" s="8">
        <v>527</v>
      </c>
      <c r="D26" s="8">
        <v>527</v>
      </c>
      <c r="E26" s="306">
        <v>31.62</v>
      </c>
      <c r="F26" s="306">
        <v>21.08</v>
      </c>
      <c r="G26" s="306">
        <f t="shared" si="0"/>
        <v>52.7</v>
      </c>
      <c r="H26" s="306">
        <v>0</v>
      </c>
      <c r="I26" s="306">
        <v>0</v>
      </c>
      <c r="J26" s="306">
        <f t="shared" si="1"/>
        <v>0</v>
      </c>
      <c r="K26" s="306">
        <v>31.62</v>
      </c>
      <c r="L26" s="306">
        <v>21.08</v>
      </c>
      <c r="M26" s="306">
        <f t="shared" si="2"/>
        <v>52.7</v>
      </c>
      <c r="N26" s="306">
        <v>22.13</v>
      </c>
      <c r="O26" s="306">
        <v>14.76</v>
      </c>
      <c r="P26" s="306">
        <f t="shared" si="3"/>
        <v>36.89</v>
      </c>
      <c r="Q26" s="306">
        <f t="shared" si="4"/>
        <v>9.490000000000002</v>
      </c>
      <c r="R26" s="306">
        <f t="shared" si="5"/>
        <v>6.3199999999999985</v>
      </c>
      <c r="S26" s="306">
        <f t="shared" si="6"/>
        <v>15.810000000000002</v>
      </c>
      <c r="T26" s="306" t="s">
        <v>652</v>
      </c>
      <c r="U26" s="546">
        <f t="shared" si="7"/>
        <v>527</v>
      </c>
      <c r="V26" s="546">
        <f t="shared" si="8"/>
        <v>527</v>
      </c>
      <c r="W26" s="363"/>
      <c r="X26" s="363"/>
      <c r="Y26" s="363"/>
    </row>
    <row r="27" spans="1:25">
      <c r="A27" s="204">
        <f t="shared" si="9"/>
        <v>15</v>
      </c>
      <c r="B27" s="204" t="s">
        <v>599</v>
      </c>
      <c r="C27" s="8">
        <v>763</v>
      </c>
      <c r="D27" s="8">
        <v>763</v>
      </c>
      <c r="E27" s="306">
        <v>45.78</v>
      </c>
      <c r="F27" s="306">
        <v>30.52</v>
      </c>
      <c r="G27" s="306">
        <f t="shared" si="0"/>
        <v>76.3</v>
      </c>
      <c r="H27" s="306">
        <v>0</v>
      </c>
      <c r="I27" s="306">
        <v>0</v>
      </c>
      <c r="J27" s="306">
        <f t="shared" si="1"/>
        <v>0</v>
      </c>
      <c r="K27" s="306">
        <v>45.78</v>
      </c>
      <c r="L27" s="306">
        <v>30.52</v>
      </c>
      <c r="M27" s="306">
        <f t="shared" si="2"/>
        <v>76.3</v>
      </c>
      <c r="N27" s="306">
        <v>32.049999999999997</v>
      </c>
      <c r="O27" s="306">
        <v>21.36</v>
      </c>
      <c r="P27" s="306">
        <f t="shared" si="3"/>
        <v>53.41</v>
      </c>
      <c r="Q27" s="306">
        <f t="shared" si="4"/>
        <v>13.730000000000004</v>
      </c>
      <c r="R27" s="306">
        <f t="shared" si="5"/>
        <v>9.16</v>
      </c>
      <c r="S27" s="306">
        <f t="shared" si="6"/>
        <v>22.89</v>
      </c>
      <c r="T27" s="306" t="s">
        <v>652</v>
      </c>
      <c r="U27" s="546">
        <f t="shared" si="7"/>
        <v>763</v>
      </c>
      <c r="V27" s="546">
        <f t="shared" si="8"/>
        <v>763</v>
      </c>
      <c r="W27" s="363"/>
      <c r="X27" s="363"/>
      <c r="Y27" s="363"/>
    </row>
    <row r="28" spans="1:25">
      <c r="A28" s="204">
        <f t="shared" si="9"/>
        <v>16</v>
      </c>
      <c r="B28" s="204" t="s">
        <v>600</v>
      </c>
      <c r="C28" s="8">
        <v>347</v>
      </c>
      <c r="D28" s="8">
        <v>344</v>
      </c>
      <c r="E28" s="306">
        <v>20.82</v>
      </c>
      <c r="F28" s="306">
        <v>13.88</v>
      </c>
      <c r="G28" s="306">
        <f t="shared" si="0"/>
        <v>34.700000000000003</v>
      </c>
      <c r="H28" s="306">
        <v>0</v>
      </c>
      <c r="I28" s="306">
        <v>0</v>
      </c>
      <c r="J28" s="306">
        <f t="shared" si="1"/>
        <v>0</v>
      </c>
      <c r="K28" s="306">
        <v>20.82</v>
      </c>
      <c r="L28" s="306">
        <v>13.88</v>
      </c>
      <c r="M28" s="306">
        <f t="shared" si="2"/>
        <v>34.700000000000003</v>
      </c>
      <c r="N28" s="306">
        <v>14.45</v>
      </c>
      <c r="O28" s="306">
        <v>9.6300000000000008</v>
      </c>
      <c r="P28" s="306">
        <f t="shared" si="3"/>
        <v>24.08</v>
      </c>
      <c r="Q28" s="306">
        <f t="shared" si="4"/>
        <v>6.370000000000001</v>
      </c>
      <c r="R28" s="306">
        <f t="shared" si="5"/>
        <v>4.25</v>
      </c>
      <c r="S28" s="306">
        <f t="shared" si="6"/>
        <v>10.620000000000005</v>
      </c>
      <c r="T28" s="306" t="s">
        <v>652</v>
      </c>
      <c r="U28" s="546">
        <f t="shared" si="7"/>
        <v>344</v>
      </c>
      <c r="V28" s="546">
        <f t="shared" si="8"/>
        <v>344</v>
      </c>
      <c r="W28" s="363"/>
      <c r="X28" s="363"/>
      <c r="Y28" s="363"/>
    </row>
    <row r="29" spans="1:25" s="527" customFormat="1">
      <c r="A29" s="204">
        <f t="shared" si="9"/>
        <v>17</v>
      </c>
      <c r="B29" s="529" t="s">
        <v>684</v>
      </c>
      <c r="C29" s="8">
        <v>200</v>
      </c>
      <c r="D29" s="8">
        <v>200</v>
      </c>
      <c r="E29" s="306">
        <v>12</v>
      </c>
      <c r="F29" s="306">
        <v>8</v>
      </c>
      <c r="G29" s="306">
        <f t="shared" si="0"/>
        <v>20</v>
      </c>
      <c r="H29" s="306">
        <v>0</v>
      </c>
      <c r="I29" s="306">
        <v>0</v>
      </c>
      <c r="J29" s="306">
        <f t="shared" si="1"/>
        <v>0</v>
      </c>
      <c r="K29" s="306">
        <v>12</v>
      </c>
      <c r="L29" s="306">
        <v>8</v>
      </c>
      <c r="M29" s="306">
        <f t="shared" si="2"/>
        <v>20</v>
      </c>
      <c r="N29" s="306">
        <v>8.4</v>
      </c>
      <c r="O29" s="306">
        <v>5.6</v>
      </c>
      <c r="P29" s="306">
        <f t="shared" si="3"/>
        <v>14</v>
      </c>
      <c r="Q29" s="306">
        <f t="shared" si="4"/>
        <v>3.5999999999999996</v>
      </c>
      <c r="R29" s="306">
        <f t="shared" si="5"/>
        <v>2.4000000000000004</v>
      </c>
      <c r="S29" s="306">
        <f t="shared" si="6"/>
        <v>6</v>
      </c>
      <c r="T29" s="306" t="s">
        <v>652</v>
      </c>
      <c r="U29" s="546">
        <f t="shared" si="7"/>
        <v>200</v>
      </c>
      <c r="V29" s="546">
        <f t="shared" si="8"/>
        <v>200</v>
      </c>
      <c r="W29" s="363"/>
      <c r="X29" s="363"/>
      <c r="Y29" s="363"/>
    </row>
    <row r="30" spans="1:25">
      <c r="A30" s="204">
        <f t="shared" si="9"/>
        <v>18</v>
      </c>
      <c r="B30" s="204" t="s">
        <v>601</v>
      </c>
      <c r="C30" s="8">
        <v>743</v>
      </c>
      <c r="D30" s="8">
        <v>743</v>
      </c>
      <c r="E30" s="306">
        <v>44.58</v>
      </c>
      <c r="F30" s="306">
        <v>29.72</v>
      </c>
      <c r="G30" s="306">
        <f t="shared" si="0"/>
        <v>74.3</v>
      </c>
      <c r="H30" s="306">
        <v>0</v>
      </c>
      <c r="I30" s="306">
        <v>0</v>
      </c>
      <c r="J30" s="306">
        <f t="shared" si="1"/>
        <v>0</v>
      </c>
      <c r="K30" s="306">
        <v>44.58</v>
      </c>
      <c r="L30" s="306">
        <v>29.72</v>
      </c>
      <c r="M30" s="306">
        <f t="shared" si="2"/>
        <v>74.3</v>
      </c>
      <c r="N30" s="306">
        <v>31.21</v>
      </c>
      <c r="O30" s="306">
        <v>20.8</v>
      </c>
      <c r="P30" s="306">
        <f t="shared" si="3"/>
        <v>52.010000000000005</v>
      </c>
      <c r="Q30" s="306">
        <f t="shared" si="4"/>
        <v>13.369999999999997</v>
      </c>
      <c r="R30" s="306">
        <f t="shared" si="5"/>
        <v>8.9199999999999982</v>
      </c>
      <c r="S30" s="306">
        <f t="shared" si="6"/>
        <v>22.289999999999992</v>
      </c>
      <c r="T30" s="306" t="s">
        <v>652</v>
      </c>
      <c r="U30" s="546">
        <f t="shared" si="7"/>
        <v>743</v>
      </c>
      <c r="V30" s="546">
        <f t="shared" si="8"/>
        <v>743</v>
      </c>
      <c r="W30" s="363"/>
      <c r="X30" s="363"/>
      <c r="Y30" s="363"/>
    </row>
    <row r="31" spans="1:25">
      <c r="A31" s="204">
        <f t="shared" si="9"/>
        <v>19</v>
      </c>
      <c r="B31" s="204" t="s">
        <v>602</v>
      </c>
      <c r="C31" s="8">
        <v>698</v>
      </c>
      <c r="D31" s="8">
        <v>698</v>
      </c>
      <c r="E31" s="306">
        <v>41.88</v>
      </c>
      <c r="F31" s="306">
        <v>27.92</v>
      </c>
      <c r="G31" s="306">
        <f t="shared" si="0"/>
        <v>69.800000000000011</v>
      </c>
      <c r="H31" s="306">
        <v>0</v>
      </c>
      <c r="I31" s="306">
        <v>0</v>
      </c>
      <c r="J31" s="306">
        <f t="shared" si="1"/>
        <v>0</v>
      </c>
      <c r="K31" s="306">
        <v>41.88</v>
      </c>
      <c r="L31" s="306">
        <v>27.92</v>
      </c>
      <c r="M31" s="306">
        <f t="shared" si="2"/>
        <v>69.800000000000011</v>
      </c>
      <c r="N31" s="306">
        <v>29.32</v>
      </c>
      <c r="O31" s="306">
        <v>19.54</v>
      </c>
      <c r="P31" s="306">
        <f t="shared" si="3"/>
        <v>48.86</v>
      </c>
      <c r="Q31" s="306">
        <f t="shared" si="4"/>
        <v>12.560000000000002</v>
      </c>
      <c r="R31" s="306">
        <f t="shared" si="5"/>
        <v>8.3800000000000026</v>
      </c>
      <c r="S31" s="306">
        <f t="shared" si="6"/>
        <v>20.940000000000012</v>
      </c>
      <c r="T31" s="306" t="s">
        <v>652</v>
      </c>
      <c r="U31" s="546">
        <f t="shared" si="7"/>
        <v>698</v>
      </c>
      <c r="V31" s="546">
        <f t="shared" si="8"/>
        <v>698</v>
      </c>
      <c r="W31" s="363"/>
      <c r="X31" s="363"/>
      <c r="Y31" s="363"/>
    </row>
    <row r="32" spans="1:25" s="527" customFormat="1">
      <c r="A32" s="204">
        <f t="shared" si="9"/>
        <v>20</v>
      </c>
      <c r="B32" s="529" t="s">
        <v>683</v>
      </c>
      <c r="C32" s="8">
        <v>588</v>
      </c>
      <c r="D32" s="8">
        <v>588</v>
      </c>
      <c r="E32" s="306">
        <v>35.28</v>
      </c>
      <c r="F32" s="306">
        <v>23.52</v>
      </c>
      <c r="G32" s="306">
        <f t="shared" si="0"/>
        <v>58.8</v>
      </c>
      <c r="H32" s="306">
        <v>0</v>
      </c>
      <c r="I32" s="306">
        <v>0</v>
      </c>
      <c r="J32" s="306">
        <f t="shared" si="1"/>
        <v>0</v>
      </c>
      <c r="K32" s="306">
        <v>35.28</v>
      </c>
      <c r="L32" s="306">
        <v>23.52</v>
      </c>
      <c r="M32" s="306">
        <f t="shared" si="2"/>
        <v>58.8</v>
      </c>
      <c r="N32" s="306">
        <v>24.7</v>
      </c>
      <c r="O32" s="306">
        <v>16.46</v>
      </c>
      <c r="P32" s="306">
        <f t="shared" si="3"/>
        <v>41.16</v>
      </c>
      <c r="Q32" s="306">
        <f t="shared" si="4"/>
        <v>10.580000000000002</v>
      </c>
      <c r="R32" s="306">
        <f t="shared" si="5"/>
        <v>7.0599999999999987</v>
      </c>
      <c r="S32" s="306">
        <f t="shared" si="6"/>
        <v>17.64</v>
      </c>
      <c r="T32" s="306" t="s">
        <v>652</v>
      </c>
      <c r="U32" s="546">
        <f t="shared" si="7"/>
        <v>588</v>
      </c>
      <c r="V32" s="546">
        <f t="shared" si="8"/>
        <v>588</v>
      </c>
      <c r="W32" s="363"/>
      <c r="X32" s="363"/>
      <c r="Y32" s="363"/>
    </row>
    <row r="33" spans="1:25">
      <c r="A33" s="204">
        <f t="shared" si="9"/>
        <v>21</v>
      </c>
      <c r="B33" s="529" t="s">
        <v>628</v>
      </c>
      <c r="C33" s="8">
        <v>418</v>
      </c>
      <c r="D33" s="8">
        <v>417</v>
      </c>
      <c r="E33" s="306">
        <v>25.08</v>
      </c>
      <c r="F33" s="306">
        <v>16.72</v>
      </c>
      <c r="G33" s="306">
        <f t="shared" si="0"/>
        <v>41.8</v>
      </c>
      <c r="H33" s="306">
        <v>0</v>
      </c>
      <c r="I33" s="306">
        <v>0</v>
      </c>
      <c r="J33" s="306">
        <f t="shared" si="1"/>
        <v>0</v>
      </c>
      <c r="K33" s="306">
        <v>25.08</v>
      </c>
      <c r="L33" s="306">
        <v>16.72</v>
      </c>
      <c r="M33" s="306">
        <f t="shared" si="2"/>
        <v>41.8</v>
      </c>
      <c r="N33" s="306">
        <v>17.510000000000002</v>
      </c>
      <c r="O33" s="306">
        <v>11.68</v>
      </c>
      <c r="P33" s="306">
        <f t="shared" si="3"/>
        <v>29.19</v>
      </c>
      <c r="Q33" s="306">
        <f t="shared" si="4"/>
        <v>7.5699999999999967</v>
      </c>
      <c r="R33" s="306">
        <f t="shared" si="5"/>
        <v>5.0399999999999991</v>
      </c>
      <c r="S33" s="306">
        <f t="shared" si="6"/>
        <v>12.609999999999996</v>
      </c>
      <c r="T33" s="306" t="s">
        <v>652</v>
      </c>
      <c r="U33" s="546">
        <f t="shared" si="7"/>
        <v>417</v>
      </c>
      <c r="V33" s="546">
        <f t="shared" si="8"/>
        <v>417</v>
      </c>
      <c r="W33" s="363"/>
      <c r="X33" s="363"/>
      <c r="Y33" s="363"/>
    </row>
    <row r="34" spans="1:25">
      <c r="A34" s="204">
        <f t="shared" si="9"/>
        <v>22</v>
      </c>
      <c r="B34" s="204" t="s">
        <v>603</v>
      </c>
      <c r="C34" s="8">
        <v>1027</v>
      </c>
      <c r="D34" s="8">
        <v>1025</v>
      </c>
      <c r="E34" s="306">
        <v>61.62</v>
      </c>
      <c r="F34" s="306">
        <v>41.08</v>
      </c>
      <c r="G34" s="306">
        <f t="shared" si="0"/>
        <v>102.69999999999999</v>
      </c>
      <c r="H34" s="306">
        <v>0</v>
      </c>
      <c r="I34" s="306">
        <v>0</v>
      </c>
      <c r="J34" s="306">
        <f t="shared" si="1"/>
        <v>0</v>
      </c>
      <c r="K34" s="306">
        <v>61.62</v>
      </c>
      <c r="L34" s="306">
        <v>41.08</v>
      </c>
      <c r="M34" s="306">
        <f t="shared" si="2"/>
        <v>102.69999999999999</v>
      </c>
      <c r="N34" s="306">
        <v>43.05</v>
      </c>
      <c r="O34" s="306">
        <v>28.7</v>
      </c>
      <c r="P34" s="306">
        <f t="shared" si="3"/>
        <v>71.75</v>
      </c>
      <c r="Q34" s="306">
        <f t="shared" si="4"/>
        <v>18.57</v>
      </c>
      <c r="R34" s="306">
        <f t="shared" si="5"/>
        <v>12.379999999999999</v>
      </c>
      <c r="S34" s="306">
        <f t="shared" si="6"/>
        <v>30.949999999999989</v>
      </c>
      <c r="T34" s="306" t="s">
        <v>652</v>
      </c>
      <c r="U34" s="546">
        <f t="shared" si="7"/>
        <v>1025</v>
      </c>
      <c r="V34" s="546">
        <f t="shared" si="8"/>
        <v>1025</v>
      </c>
      <c r="W34" s="363"/>
      <c r="X34" s="363"/>
      <c r="Y34" s="363"/>
    </row>
    <row r="35" spans="1:25">
      <c r="A35" s="204">
        <f t="shared" si="9"/>
        <v>23</v>
      </c>
      <c r="B35" s="204" t="s">
        <v>604</v>
      </c>
      <c r="C35" s="8">
        <v>550</v>
      </c>
      <c r="D35" s="8">
        <v>550</v>
      </c>
      <c r="E35" s="306">
        <v>33</v>
      </c>
      <c r="F35" s="306">
        <v>22</v>
      </c>
      <c r="G35" s="306">
        <f t="shared" si="0"/>
        <v>55</v>
      </c>
      <c r="H35" s="306">
        <v>0</v>
      </c>
      <c r="I35" s="306">
        <v>0</v>
      </c>
      <c r="J35" s="306">
        <f t="shared" si="1"/>
        <v>0</v>
      </c>
      <c r="K35" s="306">
        <v>33</v>
      </c>
      <c r="L35" s="306">
        <v>22</v>
      </c>
      <c r="M35" s="306">
        <f t="shared" si="2"/>
        <v>55</v>
      </c>
      <c r="N35" s="306">
        <v>23.1</v>
      </c>
      <c r="O35" s="306">
        <v>15.4</v>
      </c>
      <c r="P35" s="306">
        <f t="shared" si="3"/>
        <v>38.5</v>
      </c>
      <c r="Q35" s="306">
        <f t="shared" si="4"/>
        <v>9.8999999999999986</v>
      </c>
      <c r="R35" s="306">
        <f t="shared" si="5"/>
        <v>6.6</v>
      </c>
      <c r="S35" s="306">
        <f t="shared" si="6"/>
        <v>16.5</v>
      </c>
      <c r="T35" s="306" t="s">
        <v>652</v>
      </c>
      <c r="U35" s="546">
        <f t="shared" si="7"/>
        <v>550</v>
      </c>
      <c r="V35" s="546">
        <f t="shared" si="8"/>
        <v>550</v>
      </c>
      <c r="W35" s="363"/>
      <c r="X35" s="363"/>
      <c r="Y35" s="363"/>
    </row>
    <row r="36" spans="1:25">
      <c r="A36" s="204">
        <f t="shared" si="9"/>
        <v>24</v>
      </c>
      <c r="B36" s="204" t="s">
        <v>605</v>
      </c>
      <c r="C36" s="8">
        <v>425</v>
      </c>
      <c r="D36" s="8">
        <v>425</v>
      </c>
      <c r="E36" s="306">
        <v>25.5</v>
      </c>
      <c r="F36" s="306">
        <v>17</v>
      </c>
      <c r="G36" s="306">
        <f t="shared" si="0"/>
        <v>42.5</v>
      </c>
      <c r="H36" s="306">
        <v>0</v>
      </c>
      <c r="I36" s="306">
        <v>0</v>
      </c>
      <c r="J36" s="306">
        <f t="shared" si="1"/>
        <v>0</v>
      </c>
      <c r="K36" s="306">
        <v>25.5</v>
      </c>
      <c r="L36" s="306">
        <v>17</v>
      </c>
      <c r="M36" s="306">
        <f t="shared" si="2"/>
        <v>42.5</v>
      </c>
      <c r="N36" s="306">
        <v>17.850000000000001</v>
      </c>
      <c r="O36" s="306">
        <v>11.9</v>
      </c>
      <c r="P36" s="306">
        <f t="shared" si="3"/>
        <v>29.75</v>
      </c>
      <c r="Q36" s="306">
        <f t="shared" si="4"/>
        <v>7.6499999999999986</v>
      </c>
      <c r="R36" s="306">
        <f t="shared" si="5"/>
        <v>5.0999999999999996</v>
      </c>
      <c r="S36" s="306">
        <f t="shared" si="6"/>
        <v>12.75</v>
      </c>
      <c r="T36" s="306" t="s">
        <v>652</v>
      </c>
      <c r="U36" s="546">
        <f t="shared" si="7"/>
        <v>425</v>
      </c>
      <c r="V36" s="546">
        <f t="shared" si="8"/>
        <v>425</v>
      </c>
      <c r="W36" s="363"/>
      <c r="X36" s="363"/>
      <c r="Y36" s="363"/>
    </row>
    <row r="37" spans="1:25">
      <c r="A37" s="204">
        <f t="shared" si="9"/>
        <v>25</v>
      </c>
      <c r="B37" s="204" t="s">
        <v>606</v>
      </c>
      <c r="C37" s="8">
        <v>808</v>
      </c>
      <c r="D37" s="8">
        <v>808</v>
      </c>
      <c r="E37" s="306">
        <v>48.48</v>
      </c>
      <c r="F37" s="306">
        <v>32.32</v>
      </c>
      <c r="G37" s="306">
        <f t="shared" si="0"/>
        <v>80.8</v>
      </c>
      <c r="H37" s="306">
        <v>0</v>
      </c>
      <c r="I37" s="306">
        <v>0</v>
      </c>
      <c r="J37" s="306">
        <f t="shared" si="1"/>
        <v>0</v>
      </c>
      <c r="K37" s="306">
        <v>48.48</v>
      </c>
      <c r="L37" s="306">
        <v>32.32</v>
      </c>
      <c r="M37" s="306">
        <f t="shared" si="2"/>
        <v>80.8</v>
      </c>
      <c r="N37" s="306">
        <v>33.94</v>
      </c>
      <c r="O37" s="306">
        <v>22.62</v>
      </c>
      <c r="P37" s="306">
        <f t="shared" si="3"/>
        <v>56.56</v>
      </c>
      <c r="Q37" s="306">
        <f t="shared" si="4"/>
        <v>14.54</v>
      </c>
      <c r="R37" s="306">
        <f t="shared" si="5"/>
        <v>9.6999999999999993</v>
      </c>
      <c r="S37" s="306">
        <f t="shared" si="6"/>
        <v>24.239999999999995</v>
      </c>
      <c r="T37" s="306" t="s">
        <v>652</v>
      </c>
      <c r="U37" s="546">
        <f t="shared" si="7"/>
        <v>808</v>
      </c>
      <c r="V37" s="546">
        <f t="shared" si="8"/>
        <v>808</v>
      </c>
      <c r="W37" s="363"/>
      <c r="X37" s="363"/>
      <c r="Y37" s="363"/>
    </row>
    <row r="38" spans="1:25">
      <c r="A38" s="204">
        <f t="shared" si="9"/>
        <v>26</v>
      </c>
      <c r="B38" s="204" t="s">
        <v>607</v>
      </c>
      <c r="C38" s="8">
        <v>826</v>
      </c>
      <c r="D38" s="8">
        <v>824</v>
      </c>
      <c r="E38" s="306">
        <v>49.56</v>
      </c>
      <c r="F38" s="306">
        <v>33.04</v>
      </c>
      <c r="G38" s="306">
        <f t="shared" si="0"/>
        <v>82.6</v>
      </c>
      <c r="H38" s="306">
        <v>0</v>
      </c>
      <c r="I38" s="306">
        <v>0</v>
      </c>
      <c r="J38" s="306">
        <f t="shared" si="1"/>
        <v>0</v>
      </c>
      <c r="K38" s="306">
        <v>49.56</v>
      </c>
      <c r="L38" s="306">
        <v>33.04</v>
      </c>
      <c r="M38" s="306">
        <f t="shared" si="2"/>
        <v>82.6</v>
      </c>
      <c r="N38" s="306">
        <v>34.61</v>
      </c>
      <c r="O38" s="306">
        <v>23.07</v>
      </c>
      <c r="P38" s="306">
        <f t="shared" si="3"/>
        <v>57.68</v>
      </c>
      <c r="Q38" s="306">
        <f t="shared" si="4"/>
        <v>14.950000000000003</v>
      </c>
      <c r="R38" s="306">
        <f t="shared" si="5"/>
        <v>9.9699999999999989</v>
      </c>
      <c r="S38" s="306">
        <f t="shared" si="6"/>
        <v>24.919999999999995</v>
      </c>
      <c r="T38" s="306" t="s">
        <v>652</v>
      </c>
      <c r="U38" s="546">
        <f t="shared" si="7"/>
        <v>824</v>
      </c>
      <c r="V38" s="546">
        <f t="shared" si="8"/>
        <v>824</v>
      </c>
      <c r="W38" s="363"/>
      <c r="X38" s="363"/>
      <c r="Y38" s="363"/>
    </row>
    <row r="39" spans="1:25">
      <c r="A39" s="204">
        <f t="shared" si="9"/>
        <v>27</v>
      </c>
      <c r="B39" s="204" t="s">
        <v>608</v>
      </c>
      <c r="C39" s="8">
        <v>819</v>
      </c>
      <c r="D39" s="8">
        <v>819</v>
      </c>
      <c r="E39" s="306">
        <v>49.14</v>
      </c>
      <c r="F39" s="306">
        <v>32.76</v>
      </c>
      <c r="G39" s="306">
        <f t="shared" si="0"/>
        <v>81.900000000000006</v>
      </c>
      <c r="H39" s="306">
        <v>0</v>
      </c>
      <c r="I39" s="306">
        <v>0</v>
      </c>
      <c r="J39" s="306">
        <f t="shared" si="1"/>
        <v>0</v>
      </c>
      <c r="K39" s="306">
        <v>49.14</v>
      </c>
      <c r="L39" s="306">
        <v>32.76</v>
      </c>
      <c r="M39" s="306">
        <f t="shared" si="2"/>
        <v>81.900000000000006</v>
      </c>
      <c r="N39" s="306">
        <v>34.4</v>
      </c>
      <c r="O39" s="306">
        <v>22.93</v>
      </c>
      <c r="P39" s="306">
        <f t="shared" si="3"/>
        <v>57.33</v>
      </c>
      <c r="Q39" s="306">
        <f t="shared" si="4"/>
        <v>14.740000000000002</v>
      </c>
      <c r="R39" s="306">
        <f t="shared" si="5"/>
        <v>9.8299999999999983</v>
      </c>
      <c r="S39" s="306">
        <f t="shared" si="6"/>
        <v>24.570000000000007</v>
      </c>
      <c r="T39" s="306" t="s">
        <v>652</v>
      </c>
      <c r="U39" s="546">
        <f t="shared" si="7"/>
        <v>819</v>
      </c>
      <c r="V39" s="546">
        <f t="shared" si="8"/>
        <v>819</v>
      </c>
      <c r="W39" s="363"/>
      <c r="X39" s="363"/>
      <c r="Y39" s="363"/>
    </row>
    <row r="40" spans="1:25">
      <c r="A40" s="204">
        <f t="shared" si="9"/>
        <v>28</v>
      </c>
      <c r="B40" s="204" t="s">
        <v>609</v>
      </c>
      <c r="C40" s="8">
        <v>462</v>
      </c>
      <c r="D40" s="8">
        <v>461</v>
      </c>
      <c r="E40" s="306">
        <v>27.72</v>
      </c>
      <c r="F40" s="306">
        <v>18.48</v>
      </c>
      <c r="G40" s="306">
        <f t="shared" si="0"/>
        <v>46.2</v>
      </c>
      <c r="H40" s="306">
        <v>0</v>
      </c>
      <c r="I40" s="306">
        <v>0</v>
      </c>
      <c r="J40" s="306">
        <f t="shared" si="1"/>
        <v>0</v>
      </c>
      <c r="K40" s="306">
        <v>27.72</v>
      </c>
      <c r="L40" s="306">
        <v>18.48</v>
      </c>
      <c r="M40" s="306">
        <f t="shared" si="2"/>
        <v>46.2</v>
      </c>
      <c r="N40" s="306">
        <v>19.36</v>
      </c>
      <c r="O40" s="306">
        <v>12.91</v>
      </c>
      <c r="P40" s="306">
        <f t="shared" si="3"/>
        <v>32.269999999999996</v>
      </c>
      <c r="Q40" s="306">
        <f t="shared" si="4"/>
        <v>8.36</v>
      </c>
      <c r="R40" s="306">
        <f t="shared" si="5"/>
        <v>5.57</v>
      </c>
      <c r="S40" s="306">
        <f t="shared" si="6"/>
        <v>13.930000000000007</v>
      </c>
      <c r="T40" s="306" t="s">
        <v>652</v>
      </c>
      <c r="U40" s="546">
        <f t="shared" si="7"/>
        <v>461</v>
      </c>
      <c r="V40" s="546">
        <f t="shared" si="8"/>
        <v>461</v>
      </c>
      <c r="W40" s="363"/>
      <c r="X40" s="363"/>
      <c r="Y40" s="363"/>
    </row>
    <row r="41" spans="1:25">
      <c r="A41" s="204">
        <f t="shared" si="9"/>
        <v>29</v>
      </c>
      <c r="B41" s="204" t="s">
        <v>610</v>
      </c>
      <c r="C41" s="8">
        <v>779</v>
      </c>
      <c r="D41" s="8">
        <v>779</v>
      </c>
      <c r="E41" s="306">
        <v>46.74</v>
      </c>
      <c r="F41" s="306">
        <v>31.16</v>
      </c>
      <c r="G41" s="306">
        <f t="shared" si="0"/>
        <v>77.900000000000006</v>
      </c>
      <c r="H41" s="306">
        <v>0</v>
      </c>
      <c r="I41" s="306">
        <v>0</v>
      </c>
      <c r="J41" s="306">
        <f t="shared" si="1"/>
        <v>0</v>
      </c>
      <c r="K41" s="306">
        <v>46.74</v>
      </c>
      <c r="L41" s="306">
        <v>31.16</v>
      </c>
      <c r="M41" s="306">
        <f t="shared" si="2"/>
        <v>77.900000000000006</v>
      </c>
      <c r="N41" s="306">
        <v>32.72</v>
      </c>
      <c r="O41" s="306">
        <v>21.81</v>
      </c>
      <c r="P41" s="306">
        <f t="shared" si="3"/>
        <v>54.53</v>
      </c>
      <c r="Q41" s="306">
        <f t="shared" si="4"/>
        <v>14.020000000000003</v>
      </c>
      <c r="R41" s="306">
        <f t="shared" si="5"/>
        <v>9.3500000000000014</v>
      </c>
      <c r="S41" s="306">
        <f t="shared" si="6"/>
        <v>23.370000000000005</v>
      </c>
      <c r="T41" s="306" t="s">
        <v>652</v>
      </c>
      <c r="U41" s="546">
        <f t="shared" si="7"/>
        <v>779</v>
      </c>
      <c r="V41" s="8">
        <f t="shared" si="8"/>
        <v>779</v>
      </c>
      <c r="W41" s="363"/>
      <c r="X41" s="363"/>
      <c r="Y41" s="363"/>
    </row>
    <row r="42" spans="1:25">
      <c r="A42" s="204">
        <f t="shared" si="9"/>
        <v>30</v>
      </c>
      <c r="B42" s="502" t="s">
        <v>611</v>
      </c>
      <c r="C42" s="8">
        <v>529</v>
      </c>
      <c r="D42" s="8">
        <v>529</v>
      </c>
      <c r="E42" s="306">
        <v>31.74</v>
      </c>
      <c r="F42" s="306">
        <v>21.16</v>
      </c>
      <c r="G42" s="306">
        <f t="shared" si="0"/>
        <v>52.9</v>
      </c>
      <c r="H42" s="306">
        <v>0</v>
      </c>
      <c r="I42" s="306">
        <v>0</v>
      </c>
      <c r="J42" s="306">
        <f t="shared" si="1"/>
        <v>0</v>
      </c>
      <c r="K42" s="306">
        <v>31.74</v>
      </c>
      <c r="L42" s="306">
        <v>21.16</v>
      </c>
      <c r="M42" s="306">
        <f t="shared" si="2"/>
        <v>52.9</v>
      </c>
      <c r="N42" s="306">
        <v>22.22</v>
      </c>
      <c r="O42" s="306">
        <v>14.81</v>
      </c>
      <c r="P42" s="306">
        <f t="shared" si="3"/>
        <v>37.03</v>
      </c>
      <c r="Q42" s="306">
        <f t="shared" si="4"/>
        <v>9.52</v>
      </c>
      <c r="R42" s="306">
        <f t="shared" si="5"/>
        <v>6.35</v>
      </c>
      <c r="S42" s="306">
        <f t="shared" si="6"/>
        <v>15.869999999999997</v>
      </c>
      <c r="T42" s="306" t="s">
        <v>652</v>
      </c>
      <c r="U42" s="546">
        <f t="shared" si="7"/>
        <v>529</v>
      </c>
      <c r="V42" s="8">
        <f t="shared" si="8"/>
        <v>529</v>
      </c>
      <c r="W42" s="363"/>
      <c r="X42" s="363"/>
      <c r="Y42" s="363"/>
    </row>
    <row r="43" spans="1:25">
      <c r="A43" s="204">
        <f t="shared" si="9"/>
        <v>31</v>
      </c>
      <c r="B43" s="502" t="s">
        <v>612</v>
      </c>
      <c r="C43" s="8">
        <v>578</v>
      </c>
      <c r="D43" s="8">
        <v>576</v>
      </c>
      <c r="E43" s="306">
        <v>34.68</v>
      </c>
      <c r="F43" s="306">
        <v>23.12</v>
      </c>
      <c r="G43" s="306">
        <f t="shared" si="0"/>
        <v>57.8</v>
      </c>
      <c r="H43" s="306">
        <v>0</v>
      </c>
      <c r="I43" s="306">
        <v>0</v>
      </c>
      <c r="J43" s="306">
        <f t="shared" si="1"/>
        <v>0</v>
      </c>
      <c r="K43" s="306">
        <v>34.68</v>
      </c>
      <c r="L43" s="306">
        <v>23.12</v>
      </c>
      <c r="M43" s="306">
        <f t="shared" si="2"/>
        <v>57.8</v>
      </c>
      <c r="N43" s="306">
        <v>24.19</v>
      </c>
      <c r="O43" s="306">
        <v>16.13</v>
      </c>
      <c r="P43" s="306">
        <f t="shared" si="3"/>
        <v>40.32</v>
      </c>
      <c r="Q43" s="306">
        <f t="shared" si="4"/>
        <v>10.489999999999998</v>
      </c>
      <c r="R43" s="306">
        <f t="shared" si="5"/>
        <v>6.990000000000002</v>
      </c>
      <c r="S43" s="306">
        <f t="shared" si="6"/>
        <v>17.479999999999997</v>
      </c>
      <c r="T43" s="306" t="s">
        <v>652</v>
      </c>
      <c r="U43" s="546">
        <f t="shared" si="7"/>
        <v>576</v>
      </c>
      <c r="V43" s="8">
        <f t="shared" si="8"/>
        <v>576</v>
      </c>
      <c r="W43" s="363"/>
      <c r="X43" s="363"/>
      <c r="Y43" s="363"/>
    </row>
    <row r="44" spans="1:25">
      <c r="A44" s="204">
        <f t="shared" si="9"/>
        <v>32</v>
      </c>
      <c r="B44" s="502" t="s">
        <v>613</v>
      </c>
      <c r="C44" s="8">
        <v>525</v>
      </c>
      <c r="D44" s="8">
        <v>523</v>
      </c>
      <c r="E44" s="306">
        <v>31.5</v>
      </c>
      <c r="F44" s="306">
        <v>21</v>
      </c>
      <c r="G44" s="306">
        <f t="shared" si="0"/>
        <v>52.5</v>
      </c>
      <c r="H44" s="306">
        <v>0</v>
      </c>
      <c r="I44" s="306">
        <v>0</v>
      </c>
      <c r="J44" s="306">
        <f t="shared" si="1"/>
        <v>0</v>
      </c>
      <c r="K44" s="306">
        <v>31.5</v>
      </c>
      <c r="L44" s="306">
        <v>21</v>
      </c>
      <c r="M44" s="306">
        <f t="shared" si="2"/>
        <v>52.5</v>
      </c>
      <c r="N44" s="306">
        <v>21.97</v>
      </c>
      <c r="O44" s="306">
        <v>14.64</v>
      </c>
      <c r="P44" s="306">
        <f t="shared" si="3"/>
        <v>36.61</v>
      </c>
      <c r="Q44" s="306">
        <f t="shared" si="4"/>
        <v>9.5300000000000011</v>
      </c>
      <c r="R44" s="306">
        <f t="shared" si="5"/>
        <v>6.3599999999999994</v>
      </c>
      <c r="S44" s="306">
        <f t="shared" si="6"/>
        <v>15.89</v>
      </c>
      <c r="T44" s="306" t="s">
        <v>652</v>
      </c>
      <c r="U44" s="546">
        <f t="shared" si="7"/>
        <v>523</v>
      </c>
      <c r="V44" s="8">
        <f t="shared" si="8"/>
        <v>523</v>
      </c>
      <c r="W44" s="363"/>
      <c r="X44" s="363"/>
      <c r="Y44" s="363"/>
    </row>
    <row r="45" spans="1:25">
      <c r="A45" s="204">
        <f t="shared" si="9"/>
        <v>33</v>
      </c>
      <c r="B45" s="502" t="s">
        <v>614</v>
      </c>
      <c r="C45" s="8">
        <v>379</v>
      </c>
      <c r="D45" s="8">
        <v>379</v>
      </c>
      <c r="E45" s="306">
        <v>22.74</v>
      </c>
      <c r="F45" s="306">
        <v>15.16</v>
      </c>
      <c r="G45" s="306">
        <f t="shared" si="0"/>
        <v>37.9</v>
      </c>
      <c r="H45" s="306">
        <v>0</v>
      </c>
      <c r="I45" s="306">
        <v>0</v>
      </c>
      <c r="J45" s="306">
        <f t="shared" si="1"/>
        <v>0</v>
      </c>
      <c r="K45" s="306">
        <v>22.74</v>
      </c>
      <c r="L45" s="306">
        <v>15.16</v>
      </c>
      <c r="M45" s="306">
        <f t="shared" si="2"/>
        <v>37.9</v>
      </c>
      <c r="N45" s="306">
        <v>15.92</v>
      </c>
      <c r="O45" s="306">
        <v>10.61</v>
      </c>
      <c r="P45" s="306">
        <f t="shared" si="3"/>
        <v>26.53</v>
      </c>
      <c r="Q45" s="306">
        <f t="shared" si="4"/>
        <v>6.8199999999999985</v>
      </c>
      <c r="R45" s="306">
        <f t="shared" si="5"/>
        <v>4.5500000000000007</v>
      </c>
      <c r="S45" s="306">
        <f t="shared" si="6"/>
        <v>11.369999999999997</v>
      </c>
      <c r="T45" s="306" t="s">
        <v>652</v>
      </c>
      <c r="U45" s="546">
        <f t="shared" si="7"/>
        <v>379</v>
      </c>
      <c r="V45" s="8">
        <f t="shared" si="8"/>
        <v>379</v>
      </c>
      <c r="W45" s="363"/>
      <c r="X45" s="363"/>
      <c r="Y45" s="363"/>
    </row>
    <row r="46" spans="1:25">
      <c r="A46" s="151"/>
      <c r="B46" s="151" t="s">
        <v>615</v>
      </c>
      <c r="C46" s="17">
        <f>SUM(C13:C45)</f>
        <v>19716</v>
      </c>
      <c r="D46" s="17">
        <f t="shared" ref="D46:V46" si="10">SUM(D13:D45)</f>
        <v>19698</v>
      </c>
      <c r="E46" s="307">
        <f t="shared" si="10"/>
        <v>1182.9600000000003</v>
      </c>
      <c r="F46" s="307">
        <f t="shared" si="10"/>
        <v>788.63999999999987</v>
      </c>
      <c r="G46" s="307">
        <f t="shared" si="10"/>
        <v>1971.6000000000001</v>
      </c>
      <c r="H46" s="307">
        <f t="shared" si="10"/>
        <v>0</v>
      </c>
      <c r="I46" s="307">
        <f t="shared" si="10"/>
        <v>0</v>
      </c>
      <c r="J46" s="307">
        <f t="shared" si="10"/>
        <v>0</v>
      </c>
      <c r="K46" s="307">
        <f t="shared" si="10"/>
        <v>1182.9600000000003</v>
      </c>
      <c r="L46" s="307">
        <f t="shared" si="10"/>
        <v>788.63999999999987</v>
      </c>
      <c r="M46" s="307">
        <f t="shared" si="10"/>
        <v>1971.6000000000001</v>
      </c>
      <c r="N46" s="307">
        <f t="shared" si="10"/>
        <v>827.33999999999992</v>
      </c>
      <c r="O46" s="307">
        <f t="shared" si="10"/>
        <v>551.52</v>
      </c>
      <c r="P46" s="307">
        <f t="shared" si="10"/>
        <v>1378.86</v>
      </c>
      <c r="Q46" s="307">
        <f t="shared" si="10"/>
        <v>355.62000000000006</v>
      </c>
      <c r="R46" s="307">
        <f t="shared" si="10"/>
        <v>237.12</v>
      </c>
      <c r="S46" s="307">
        <f t="shared" si="10"/>
        <v>592.74000000000012</v>
      </c>
      <c r="T46" s="307"/>
      <c r="U46" s="17">
        <f t="shared" si="10"/>
        <v>19698</v>
      </c>
      <c r="V46" s="17">
        <f t="shared" si="10"/>
        <v>19698</v>
      </c>
    </row>
    <row r="47" spans="1:25">
      <c r="C47" s="367"/>
      <c r="E47" s="367"/>
      <c r="F47" s="367"/>
      <c r="G47" s="367"/>
      <c r="H47" s="363"/>
      <c r="I47" s="363"/>
      <c r="K47" s="363"/>
    </row>
    <row r="48" spans="1:25" s="656" customFormat="1">
      <c r="H48" s="363"/>
      <c r="I48" s="363"/>
      <c r="K48" s="363"/>
    </row>
    <row r="49" spans="8:22" s="656" customFormat="1">
      <c r="H49" s="363"/>
      <c r="I49" s="363"/>
      <c r="K49" s="363"/>
    </row>
    <row r="50" spans="8:22" s="656" customFormat="1">
      <c r="H50" s="363"/>
      <c r="I50" s="363"/>
      <c r="K50" s="363"/>
    </row>
    <row r="51" spans="8:22" s="332" customFormat="1"/>
    <row r="52" spans="8:22" s="332" customFormat="1">
      <c r="L52" s="497"/>
    </row>
    <row r="53" spans="8:22" ht="15.75">
      <c r="K53" s="374"/>
      <c r="L53" s="374"/>
      <c r="R53" s="761" t="s">
        <v>908</v>
      </c>
      <c r="S53" s="761"/>
      <c r="T53" s="761"/>
      <c r="U53" s="761"/>
      <c r="V53" s="761"/>
    </row>
    <row r="54" spans="8:22" ht="15.75">
      <c r="K54" s="366"/>
      <c r="L54" s="366"/>
      <c r="R54" s="761" t="s">
        <v>646</v>
      </c>
      <c r="S54" s="761"/>
      <c r="T54" s="761"/>
      <c r="U54" s="761"/>
      <c r="V54" s="761"/>
    </row>
    <row r="55" spans="8:22">
      <c r="K55" s="366"/>
      <c r="L55" s="366"/>
    </row>
  </sheetData>
  <mergeCells count="19">
    <mergeCell ref="R53:V53"/>
    <mergeCell ref="R54:V54"/>
    <mergeCell ref="A3:V3"/>
    <mergeCell ref="A4:V4"/>
    <mergeCell ref="A7:V7"/>
    <mergeCell ref="T1:V1"/>
    <mergeCell ref="A5:Q5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U10:U11"/>
    <mergeCell ref="T10:T11"/>
    <mergeCell ref="V10:V11"/>
  </mergeCells>
  <printOptions horizontalCentered="1"/>
  <pageMargins left="0.31" right="0.28999999999999998" top="0.43" bottom="0" header="0.31496062992125984" footer="0.31496062992125984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topLeftCell="A28" zoomScale="86" zoomScaleNormal="70" zoomScaleSheetLayoutView="86" workbookViewId="0">
      <selection activeCell="A28" sqref="A28"/>
    </sheetView>
  </sheetViews>
  <sheetFormatPr defaultColWidth="9.140625" defaultRowHeight="12.75"/>
  <cols>
    <col min="1" max="1" width="9.140625" style="173"/>
    <col min="2" max="2" width="19.28515625" style="173" bestFit="1" customWidth="1"/>
    <col min="3" max="3" width="16.5703125" style="173" customWidth="1"/>
    <col min="4" max="4" width="15.85546875" style="173" customWidth="1"/>
    <col min="5" max="5" width="18.85546875" style="173" customWidth="1"/>
    <col min="6" max="6" width="19" style="173" customWidth="1"/>
    <col min="7" max="7" width="22.5703125" style="173" customWidth="1"/>
    <col min="8" max="8" width="16.7109375" style="173" customWidth="1"/>
    <col min="9" max="9" width="26.7109375" style="173" customWidth="1"/>
    <col min="10" max="10" width="9.140625" style="173"/>
    <col min="11" max="11" width="11" style="173" bestFit="1" customWidth="1"/>
    <col min="12" max="12" width="9.140625" style="173"/>
    <col min="13" max="13" width="11" style="173" bestFit="1" customWidth="1"/>
    <col min="14" max="16384" width="9.140625" style="173"/>
  </cols>
  <sheetData>
    <row r="1" spans="1:22" ht="15">
      <c r="I1" s="180" t="s">
        <v>62</v>
      </c>
      <c r="J1" s="25"/>
    </row>
    <row r="2" spans="1:22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27"/>
    </row>
    <row r="3" spans="1:22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26"/>
    </row>
    <row r="4" spans="1:22" ht="10.5" customHeight="1"/>
    <row r="5" spans="1:22" ht="30.75" customHeight="1">
      <c r="A5" s="868" t="s">
        <v>803</v>
      </c>
      <c r="B5" s="868"/>
      <c r="C5" s="868"/>
      <c r="D5" s="868"/>
      <c r="E5" s="868"/>
      <c r="F5" s="868"/>
      <c r="G5" s="868"/>
      <c r="H5" s="868"/>
      <c r="I5" s="868"/>
    </row>
    <row r="7" spans="1:22" ht="0.75" customHeight="1"/>
    <row r="8" spans="1:22">
      <c r="A8" s="5" t="s">
        <v>662</v>
      </c>
      <c r="I8" s="181" t="s">
        <v>19</v>
      </c>
    </row>
    <row r="9" spans="1:22">
      <c r="D9" s="793" t="s">
        <v>777</v>
      </c>
      <c r="E9" s="793"/>
      <c r="F9" s="793"/>
      <c r="G9" s="793"/>
      <c r="H9" s="793"/>
      <c r="I9" s="793"/>
      <c r="U9" s="8"/>
      <c r="V9" s="10"/>
    </row>
    <row r="10" spans="1:22" ht="44.25" customHeight="1">
      <c r="A10" s="150" t="s">
        <v>2</v>
      </c>
      <c r="B10" s="150" t="s">
        <v>3</v>
      </c>
      <c r="C10" s="419" t="s">
        <v>742</v>
      </c>
      <c r="D10" s="448" t="s">
        <v>891</v>
      </c>
      <c r="E10" s="167" t="s">
        <v>109</v>
      </c>
      <c r="F10" s="150" t="s">
        <v>222</v>
      </c>
      <c r="G10" s="167" t="s">
        <v>426</v>
      </c>
      <c r="H10" s="167" t="s">
        <v>152</v>
      </c>
      <c r="I10" s="20" t="s">
        <v>778</v>
      </c>
    </row>
    <row r="11" spans="1:22" s="56" customFormat="1" ht="15.75" customHeight="1">
      <c r="A11" s="32">
        <v>1</v>
      </c>
      <c r="B11" s="31">
        <v>2</v>
      </c>
      <c r="C11" s="32">
        <v>3</v>
      </c>
      <c r="D11" s="31">
        <v>4</v>
      </c>
      <c r="E11" s="32">
        <v>5</v>
      </c>
      <c r="F11" s="31">
        <v>6</v>
      </c>
      <c r="G11" s="32">
        <v>7</v>
      </c>
      <c r="H11" s="31">
        <v>8</v>
      </c>
      <c r="I11" s="32">
        <v>9</v>
      </c>
    </row>
    <row r="12" spans="1:22" s="56" customFormat="1" ht="15.75" customHeight="1">
      <c r="A12" s="204">
        <v>1</v>
      </c>
      <c r="B12" s="204" t="s">
        <v>624</v>
      </c>
      <c r="C12" s="315">
        <v>15.28</v>
      </c>
      <c r="D12" s="269">
        <v>0.43</v>
      </c>
      <c r="E12" s="315">
        <v>15.353791477334832</v>
      </c>
      <c r="F12" s="305">
        <v>0</v>
      </c>
      <c r="G12" s="315">
        <v>1113</v>
      </c>
      <c r="H12" s="305">
        <v>11.3</v>
      </c>
      <c r="I12" s="315">
        <f>D12+E12+F12-H12</f>
        <v>4.4837914773348313</v>
      </c>
      <c r="J12" s="397"/>
      <c r="K12" s="397"/>
      <c r="L12" s="397"/>
      <c r="M12" s="397"/>
      <c r="N12" s="397"/>
      <c r="O12" s="397"/>
      <c r="P12" s="397"/>
      <c r="Q12" s="397"/>
      <c r="R12" s="397"/>
    </row>
    <row r="13" spans="1:22" s="56" customFormat="1">
      <c r="A13" s="204">
        <f>A12+1</f>
        <v>2</v>
      </c>
      <c r="B13" s="204" t="s">
        <v>589</v>
      </c>
      <c r="C13" s="315">
        <v>15.67</v>
      </c>
      <c r="D13" s="269">
        <v>0.45</v>
      </c>
      <c r="E13" s="315">
        <v>15.80515232429225</v>
      </c>
      <c r="F13" s="305">
        <v>0</v>
      </c>
      <c r="G13" s="315">
        <v>1113</v>
      </c>
      <c r="H13" s="305">
        <v>11.58</v>
      </c>
      <c r="I13" s="315">
        <f t="shared" ref="I13:I37" si="0">D13+E13+F13-H13</f>
        <v>4.6751523242922506</v>
      </c>
      <c r="J13" s="397"/>
      <c r="K13" s="397"/>
      <c r="L13" s="397"/>
      <c r="M13" s="397"/>
      <c r="N13" s="397"/>
      <c r="O13" s="397"/>
      <c r="P13" s="397"/>
      <c r="Q13" s="397"/>
      <c r="R13" s="397"/>
    </row>
    <row r="14" spans="1:22" s="56" customFormat="1">
      <c r="A14" s="204">
        <f t="shared" ref="A14:A44" si="1">A13+1</f>
        <v>3</v>
      </c>
      <c r="B14" s="204" t="s">
        <v>625</v>
      </c>
      <c r="C14" s="315">
        <v>35.15</v>
      </c>
      <c r="D14" s="269">
        <v>0.98</v>
      </c>
      <c r="E14" s="315">
        <v>34.69084242906888</v>
      </c>
      <c r="F14" s="305">
        <v>0</v>
      </c>
      <c r="G14" s="315">
        <v>1113</v>
      </c>
      <c r="H14" s="305">
        <v>15.84</v>
      </c>
      <c r="I14" s="315">
        <f t="shared" si="0"/>
        <v>19.830842429068877</v>
      </c>
      <c r="J14" s="397"/>
      <c r="K14" s="397"/>
      <c r="L14" s="397"/>
      <c r="M14" s="397"/>
      <c r="N14" s="397"/>
      <c r="O14" s="397"/>
      <c r="P14" s="397"/>
      <c r="Q14" s="397"/>
      <c r="R14" s="397"/>
    </row>
    <row r="15" spans="1:22" s="56" customFormat="1">
      <c r="A15" s="204">
        <f t="shared" si="1"/>
        <v>4</v>
      </c>
      <c r="B15" s="204" t="s">
        <v>590</v>
      </c>
      <c r="C15" s="315">
        <v>12.88</v>
      </c>
      <c r="D15" s="269">
        <v>0.35</v>
      </c>
      <c r="E15" s="315">
        <v>12.258208335285211</v>
      </c>
      <c r="F15" s="305">
        <v>0</v>
      </c>
      <c r="G15" s="315">
        <v>1113</v>
      </c>
      <c r="H15" s="305">
        <v>9.5</v>
      </c>
      <c r="I15" s="315">
        <f t="shared" si="0"/>
        <v>3.1082083352852106</v>
      </c>
      <c r="J15" s="397"/>
      <c r="K15" s="397"/>
      <c r="L15" s="397"/>
      <c r="M15" s="397"/>
      <c r="N15" s="397"/>
      <c r="O15" s="397"/>
      <c r="P15" s="397"/>
      <c r="Q15" s="397"/>
      <c r="R15" s="397"/>
    </row>
    <row r="16" spans="1:22" s="56" customFormat="1">
      <c r="A16" s="204">
        <f t="shared" si="1"/>
        <v>5</v>
      </c>
      <c r="B16" s="204" t="s">
        <v>591</v>
      </c>
      <c r="C16" s="315">
        <v>8.11</v>
      </c>
      <c r="D16" s="269">
        <v>0.22</v>
      </c>
      <c r="E16" s="315">
        <v>7.6806570790587285</v>
      </c>
      <c r="F16" s="305">
        <v>0</v>
      </c>
      <c r="G16" s="315">
        <v>1113</v>
      </c>
      <c r="H16" s="305">
        <v>6.01</v>
      </c>
      <c r="I16" s="315">
        <f t="shared" si="0"/>
        <v>1.8906570790587285</v>
      </c>
      <c r="J16" s="397"/>
      <c r="K16" s="397"/>
      <c r="L16" s="397"/>
      <c r="M16" s="397"/>
      <c r="N16" s="397"/>
      <c r="O16" s="397"/>
      <c r="P16" s="397"/>
      <c r="Q16" s="397"/>
      <c r="R16" s="397"/>
    </row>
    <row r="17" spans="1:18" s="56" customFormat="1">
      <c r="A17" s="204">
        <f t="shared" si="1"/>
        <v>6</v>
      </c>
      <c r="B17" s="204" t="s">
        <v>592</v>
      </c>
      <c r="C17" s="315">
        <v>4.96</v>
      </c>
      <c r="D17" s="269">
        <v>0.14000000000000001</v>
      </c>
      <c r="E17" s="315">
        <v>4.852129104792243</v>
      </c>
      <c r="F17" s="305">
        <v>0</v>
      </c>
      <c r="G17" s="315">
        <v>1113</v>
      </c>
      <c r="H17" s="305">
        <v>3.65</v>
      </c>
      <c r="I17" s="315">
        <f t="shared" si="0"/>
        <v>1.3421291047922428</v>
      </c>
      <c r="J17" s="397"/>
      <c r="K17" s="397"/>
      <c r="L17" s="397"/>
      <c r="M17" s="397"/>
      <c r="N17" s="397"/>
      <c r="O17" s="397"/>
      <c r="P17" s="397"/>
      <c r="Q17" s="397"/>
      <c r="R17" s="397"/>
    </row>
    <row r="18" spans="1:18" s="56" customFormat="1">
      <c r="A18" s="204">
        <f t="shared" si="1"/>
        <v>7</v>
      </c>
      <c r="B18" s="204" t="s">
        <v>593</v>
      </c>
      <c r="C18" s="315">
        <v>14.45</v>
      </c>
      <c r="D18" s="269">
        <v>0.4</v>
      </c>
      <c r="E18" s="315">
        <v>14.311900188941458</v>
      </c>
      <c r="F18" s="305">
        <v>0</v>
      </c>
      <c r="G18" s="315">
        <v>1113</v>
      </c>
      <c r="H18" s="305">
        <v>10.72</v>
      </c>
      <c r="I18" s="315">
        <f t="shared" si="0"/>
        <v>3.9919001889414574</v>
      </c>
      <c r="J18" s="397"/>
      <c r="K18" s="397"/>
      <c r="L18" s="397"/>
      <c r="M18" s="397"/>
      <c r="N18" s="397"/>
      <c r="O18" s="397"/>
      <c r="P18" s="397"/>
      <c r="Q18" s="397"/>
      <c r="R18" s="397"/>
    </row>
    <row r="19" spans="1:18" s="56" customFormat="1">
      <c r="A19" s="204">
        <f t="shared" si="1"/>
        <v>8</v>
      </c>
      <c r="B19" s="204" t="s">
        <v>594</v>
      </c>
      <c r="C19" s="315">
        <v>18.98</v>
      </c>
      <c r="D19" s="269">
        <v>0.52</v>
      </c>
      <c r="E19" s="315">
        <v>18.524601427210694</v>
      </c>
      <c r="F19" s="305">
        <v>0</v>
      </c>
      <c r="G19" s="315">
        <v>1113</v>
      </c>
      <c r="H19" s="305">
        <v>13.97</v>
      </c>
      <c r="I19" s="315">
        <f t="shared" si="0"/>
        <v>5.074601427210693</v>
      </c>
      <c r="J19" s="397"/>
      <c r="K19" s="397"/>
      <c r="L19" s="397"/>
      <c r="M19" s="397"/>
      <c r="N19" s="397"/>
      <c r="O19" s="397"/>
      <c r="P19" s="397"/>
      <c r="Q19" s="397"/>
      <c r="R19" s="397"/>
    </row>
    <row r="20" spans="1:18" s="56" customFormat="1">
      <c r="A20" s="204">
        <f t="shared" si="1"/>
        <v>9</v>
      </c>
      <c r="B20" s="204" t="s">
        <v>595</v>
      </c>
      <c r="C20" s="315">
        <v>9.44</v>
      </c>
      <c r="D20" s="269">
        <v>0.25</v>
      </c>
      <c r="E20" s="315">
        <v>8.9482287909308109</v>
      </c>
      <c r="F20" s="305">
        <v>0</v>
      </c>
      <c r="G20" s="315">
        <v>1113</v>
      </c>
      <c r="H20" s="305">
        <v>6.99</v>
      </c>
      <c r="I20" s="315">
        <f t="shared" si="0"/>
        <v>2.2082287909308107</v>
      </c>
      <c r="J20" s="397"/>
      <c r="K20" s="397"/>
      <c r="L20" s="397"/>
      <c r="M20" s="397"/>
      <c r="N20" s="397"/>
      <c r="O20" s="397"/>
      <c r="P20" s="397"/>
      <c r="Q20" s="397"/>
      <c r="R20" s="397"/>
    </row>
    <row r="21" spans="1:18" s="56" customFormat="1">
      <c r="A21" s="204">
        <f t="shared" si="1"/>
        <v>10</v>
      </c>
      <c r="B21" s="204" t="s">
        <v>596</v>
      </c>
      <c r="C21" s="315">
        <v>18.86</v>
      </c>
      <c r="D21" s="269">
        <v>0.52</v>
      </c>
      <c r="E21" s="315">
        <v>18.438090598210518</v>
      </c>
      <c r="F21" s="305">
        <v>0</v>
      </c>
      <c r="G21" s="315">
        <v>1113</v>
      </c>
      <c r="H21" s="305">
        <v>13.97</v>
      </c>
      <c r="I21" s="315">
        <f t="shared" si="0"/>
        <v>4.9880905982105173</v>
      </c>
      <c r="J21" s="397"/>
      <c r="K21" s="397"/>
      <c r="L21" s="397"/>
      <c r="M21" s="397"/>
      <c r="N21" s="397"/>
      <c r="O21" s="397"/>
      <c r="P21" s="397"/>
      <c r="Q21" s="397"/>
      <c r="R21" s="397"/>
    </row>
    <row r="22" spans="1:18" s="56" customFormat="1">
      <c r="A22" s="204">
        <f t="shared" si="1"/>
        <v>11</v>
      </c>
      <c r="B22" s="204" t="s">
        <v>626</v>
      </c>
      <c r="C22" s="315">
        <v>10.39</v>
      </c>
      <c r="D22" s="269">
        <v>0.3</v>
      </c>
      <c r="E22" s="315">
        <v>10.614502584281944</v>
      </c>
      <c r="F22" s="305">
        <v>0</v>
      </c>
      <c r="G22" s="315">
        <v>1113</v>
      </c>
      <c r="H22" s="305">
        <v>7.72</v>
      </c>
      <c r="I22" s="315">
        <f t="shared" si="0"/>
        <v>3.1945025842819446</v>
      </c>
      <c r="J22" s="397"/>
      <c r="K22" s="397"/>
      <c r="L22" s="397"/>
      <c r="M22" s="397"/>
      <c r="N22" s="397"/>
      <c r="O22" s="397"/>
      <c r="P22" s="397"/>
      <c r="Q22" s="397"/>
      <c r="R22" s="397"/>
    </row>
    <row r="23" spans="1:18" s="56" customFormat="1">
      <c r="A23" s="204">
        <f t="shared" si="1"/>
        <v>12</v>
      </c>
      <c r="B23" s="204" t="s">
        <v>597</v>
      </c>
      <c r="C23" s="315">
        <v>11.21</v>
      </c>
      <c r="D23" s="269">
        <v>0.31</v>
      </c>
      <c r="E23" s="315">
        <v>11.013204665760997</v>
      </c>
      <c r="F23" s="305">
        <v>0</v>
      </c>
      <c r="G23" s="315">
        <v>1113</v>
      </c>
      <c r="H23" s="305">
        <v>8.2799999999999994</v>
      </c>
      <c r="I23" s="315">
        <f t="shared" si="0"/>
        <v>3.0432046657609977</v>
      </c>
      <c r="J23" s="397"/>
      <c r="K23" s="397"/>
      <c r="L23" s="397"/>
      <c r="M23" s="397"/>
      <c r="N23" s="397"/>
      <c r="O23" s="397"/>
      <c r="P23" s="397"/>
      <c r="Q23" s="397"/>
      <c r="R23" s="397"/>
    </row>
    <row r="24" spans="1:18" s="56" customFormat="1">
      <c r="A24" s="204">
        <f t="shared" si="1"/>
        <v>13</v>
      </c>
      <c r="B24" s="204" t="s">
        <v>598</v>
      </c>
      <c r="C24" s="315">
        <v>17.53</v>
      </c>
      <c r="D24" s="269">
        <v>0.48</v>
      </c>
      <c r="E24" s="315">
        <v>17.065201355381706</v>
      </c>
      <c r="F24" s="305">
        <v>0</v>
      </c>
      <c r="G24" s="315">
        <v>1113</v>
      </c>
      <c r="H24" s="305">
        <v>12.93</v>
      </c>
      <c r="I24" s="315">
        <f t="shared" si="0"/>
        <v>4.6152013553817071</v>
      </c>
      <c r="J24" s="397"/>
      <c r="K24" s="397"/>
      <c r="L24" s="397"/>
      <c r="M24" s="397"/>
      <c r="N24" s="397"/>
      <c r="O24" s="397"/>
      <c r="P24" s="397"/>
      <c r="Q24" s="397"/>
      <c r="R24" s="397"/>
    </row>
    <row r="25" spans="1:18" s="56" customFormat="1">
      <c r="A25" s="204">
        <f t="shared" si="1"/>
        <v>14</v>
      </c>
      <c r="B25" s="204" t="s">
        <v>627</v>
      </c>
      <c r="C25" s="315">
        <v>10.33</v>
      </c>
      <c r="D25" s="269">
        <v>0.28000000000000003</v>
      </c>
      <c r="E25" s="315">
        <v>9.914893271497947</v>
      </c>
      <c r="F25" s="305">
        <v>0</v>
      </c>
      <c r="G25" s="315">
        <v>1113</v>
      </c>
      <c r="H25" s="305">
        <v>7.67</v>
      </c>
      <c r="I25" s="315">
        <f t="shared" si="0"/>
        <v>2.5248932714979464</v>
      </c>
      <c r="J25" s="397"/>
      <c r="K25" s="397"/>
      <c r="L25" s="397"/>
      <c r="M25" s="397"/>
      <c r="N25" s="397"/>
      <c r="O25" s="397"/>
      <c r="P25" s="397"/>
      <c r="Q25" s="397"/>
      <c r="R25" s="397"/>
    </row>
    <row r="26" spans="1:18" s="56" customFormat="1">
      <c r="A26" s="204">
        <f t="shared" si="1"/>
        <v>15</v>
      </c>
      <c r="B26" s="204" t="s">
        <v>599</v>
      </c>
      <c r="C26" s="315">
        <v>17.48</v>
      </c>
      <c r="D26" s="269">
        <v>0.48</v>
      </c>
      <c r="E26" s="315">
        <v>16.869611655033495</v>
      </c>
      <c r="F26" s="305">
        <v>0</v>
      </c>
      <c r="G26" s="315">
        <v>1113</v>
      </c>
      <c r="H26" s="305">
        <v>12.93</v>
      </c>
      <c r="I26" s="315">
        <f t="shared" si="0"/>
        <v>4.4196116550334956</v>
      </c>
      <c r="J26" s="397"/>
      <c r="K26" s="397"/>
      <c r="L26" s="397"/>
      <c r="M26" s="397"/>
      <c r="N26" s="397"/>
      <c r="O26" s="397"/>
      <c r="P26" s="397"/>
      <c r="Q26" s="397"/>
      <c r="R26" s="397"/>
    </row>
    <row r="27" spans="1:18" s="56" customFormat="1">
      <c r="A27" s="204">
        <f t="shared" si="1"/>
        <v>16</v>
      </c>
      <c r="B27" s="204" t="s">
        <v>600</v>
      </c>
      <c r="C27" s="315">
        <v>18.45</v>
      </c>
      <c r="D27" s="269">
        <v>0.5</v>
      </c>
      <c r="E27" s="315">
        <v>17.629402414078481</v>
      </c>
      <c r="F27" s="305">
        <v>0</v>
      </c>
      <c r="G27" s="315">
        <v>1113</v>
      </c>
      <c r="H27" s="305">
        <v>13.57</v>
      </c>
      <c r="I27" s="315">
        <f t="shared" si="0"/>
        <v>4.5594024140784803</v>
      </c>
      <c r="J27" s="397"/>
      <c r="K27" s="397"/>
      <c r="L27" s="397"/>
      <c r="M27" s="397"/>
      <c r="N27" s="397"/>
      <c r="O27" s="397"/>
      <c r="P27" s="397"/>
      <c r="Q27" s="397"/>
      <c r="R27" s="397"/>
    </row>
    <row r="28" spans="1:18" s="56" customFormat="1">
      <c r="A28" s="204">
        <f t="shared" si="1"/>
        <v>17</v>
      </c>
      <c r="B28" s="529" t="s">
        <v>684</v>
      </c>
      <c r="C28" s="315">
        <v>4.2</v>
      </c>
      <c r="D28" s="269">
        <v>0.12</v>
      </c>
      <c r="E28" s="315">
        <v>4.2691213441389113</v>
      </c>
      <c r="F28" s="305">
        <v>0</v>
      </c>
      <c r="G28" s="315">
        <v>1113</v>
      </c>
      <c r="H28" s="305">
        <v>3.11</v>
      </c>
      <c r="I28" s="315">
        <f t="shared" si="0"/>
        <v>1.2791213441389115</v>
      </c>
      <c r="J28" s="397"/>
      <c r="K28" s="397"/>
      <c r="L28" s="397"/>
      <c r="M28" s="397"/>
      <c r="N28" s="397"/>
      <c r="O28" s="397"/>
      <c r="P28" s="397"/>
      <c r="Q28" s="397"/>
      <c r="R28" s="397"/>
    </row>
    <row r="29" spans="1:18" s="56" customFormat="1">
      <c r="A29" s="204">
        <f t="shared" si="1"/>
        <v>18</v>
      </c>
      <c r="B29" s="204" t="s">
        <v>601</v>
      </c>
      <c r="C29" s="315">
        <v>14.55</v>
      </c>
      <c r="D29" s="269">
        <v>0.4</v>
      </c>
      <c r="E29" s="315">
        <v>14.138878530941117</v>
      </c>
      <c r="F29" s="305">
        <v>0</v>
      </c>
      <c r="G29" s="315">
        <v>1113</v>
      </c>
      <c r="H29" s="305">
        <v>10.73</v>
      </c>
      <c r="I29" s="315">
        <f t="shared" si="0"/>
        <v>3.8088785309411168</v>
      </c>
      <c r="J29" s="397"/>
      <c r="K29" s="397"/>
      <c r="L29" s="397"/>
      <c r="M29" s="397"/>
      <c r="N29" s="397"/>
      <c r="O29" s="397"/>
      <c r="P29" s="397"/>
      <c r="Q29" s="397"/>
      <c r="R29" s="397"/>
    </row>
    <row r="30" spans="1:18">
      <c r="A30" s="204">
        <f t="shared" si="1"/>
        <v>19</v>
      </c>
      <c r="B30" s="204" t="s">
        <v>602</v>
      </c>
      <c r="C30" s="315">
        <v>23.73</v>
      </c>
      <c r="D30" s="269">
        <v>0.65</v>
      </c>
      <c r="E30" s="315">
        <v>22.880233600349776</v>
      </c>
      <c r="F30" s="305">
        <v>0</v>
      </c>
      <c r="G30" s="315">
        <v>1113</v>
      </c>
      <c r="H30" s="305">
        <v>17.489999999999998</v>
      </c>
      <c r="I30" s="315">
        <f t="shared" si="0"/>
        <v>6.0402336003497759</v>
      </c>
      <c r="J30" s="397"/>
      <c r="K30" s="397"/>
      <c r="L30" s="397"/>
      <c r="M30" s="397"/>
      <c r="N30" s="397"/>
      <c r="O30" s="397"/>
      <c r="P30" s="397"/>
      <c r="Q30" s="397"/>
      <c r="R30" s="397"/>
    </row>
    <row r="31" spans="1:18" s="527" customFormat="1">
      <c r="A31" s="204">
        <f t="shared" si="1"/>
        <v>20</v>
      </c>
      <c r="B31" s="529" t="s">
        <v>683</v>
      </c>
      <c r="C31" s="315">
        <v>13.74</v>
      </c>
      <c r="D31" s="269">
        <v>0.38</v>
      </c>
      <c r="E31" s="315">
        <v>13.371565091113503</v>
      </c>
      <c r="F31" s="305">
        <v>0</v>
      </c>
      <c r="G31" s="315">
        <v>1113</v>
      </c>
      <c r="H31" s="305">
        <v>10.18</v>
      </c>
      <c r="I31" s="315">
        <f t="shared" si="0"/>
        <v>3.571565091113504</v>
      </c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>
      <c r="A32" s="204">
        <f t="shared" si="1"/>
        <v>21</v>
      </c>
      <c r="B32" s="529" t="s">
        <v>628</v>
      </c>
      <c r="C32" s="315">
        <v>11.3</v>
      </c>
      <c r="D32" s="269">
        <v>0.31</v>
      </c>
      <c r="E32" s="315">
        <v>11.114760856326416</v>
      </c>
      <c r="F32" s="305">
        <v>0</v>
      </c>
      <c r="G32" s="315">
        <v>1113</v>
      </c>
      <c r="H32" s="305">
        <v>8.33</v>
      </c>
      <c r="I32" s="315">
        <f t="shared" si="0"/>
        <v>3.0947608563264168</v>
      </c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>
      <c r="A33" s="204">
        <f t="shared" si="1"/>
        <v>22</v>
      </c>
      <c r="B33" s="204" t="s">
        <v>603</v>
      </c>
      <c r="C33" s="315">
        <v>23.93</v>
      </c>
      <c r="D33" s="269">
        <v>0.65</v>
      </c>
      <c r="E33" s="315">
        <v>23.188663512437348</v>
      </c>
      <c r="F33" s="305">
        <v>0</v>
      </c>
      <c r="G33" s="315">
        <v>1113</v>
      </c>
      <c r="H33" s="305">
        <v>17.68</v>
      </c>
      <c r="I33" s="315">
        <f t="shared" si="0"/>
        <v>6.1586635124373466</v>
      </c>
      <c r="J33" s="397"/>
      <c r="K33" s="397"/>
      <c r="L33" s="397"/>
      <c r="M33" s="397"/>
      <c r="N33" s="397"/>
      <c r="O33" s="397"/>
      <c r="P33" s="397"/>
      <c r="Q33" s="397"/>
      <c r="R33" s="397"/>
    </row>
    <row r="34" spans="1:18">
      <c r="A34" s="204">
        <f t="shared" si="1"/>
        <v>23</v>
      </c>
      <c r="B34" s="204" t="s">
        <v>604</v>
      </c>
      <c r="C34" s="315">
        <v>7.4</v>
      </c>
      <c r="D34" s="269">
        <v>0.2</v>
      </c>
      <c r="E34" s="315">
        <v>7.0675585952749014</v>
      </c>
      <c r="F34" s="305">
        <v>0</v>
      </c>
      <c r="G34" s="315">
        <v>1113</v>
      </c>
      <c r="H34" s="305">
        <v>5.51</v>
      </c>
      <c r="I34" s="315">
        <f t="shared" si="0"/>
        <v>1.7575585952749018</v>
      </c>
      <c r="J34" s="397"/>
      <c r="K34" s="397"/>
      <c r="L34" s="397"/>
      <c r="M34" s="397"/>
      <c r="N34" s="397"/>
      <c r="O34" s="397"/>
      <c r="P34" s="397"/>
      <c r="Q34" s="397"/>
      <c r="R34" s="397"/>
    </row>
    <row r="35" spans="1:18">
      <c r="A35" s="204">
        <f t="shared" si="1"/>
        <v>24</v>
      </c>
      <c r="B35" s="204" t="s">
        <v>605</v>
      </c>
      <c r="C35" s="315">
        <v>7.8</v>
      </c>
      <c r="D35" s="269">
        <v>0.21</v>
      </c>
      <c r="E35" s="315">
        <v>7.6054302712324917</v>
      </c>
      <c r="F35" s="305">
        <v>0</v>
      </c>
      <c r="G35" s="315">
        <v>1113</v>
      </c>
      <c r="H35" s="305">
        <v>5.77</v>
      </c>
      <c r="I35" s="315">
        <f t="shared" si="0"/>
        <v>2.0454302712324921</v>
      </c>
      <c r="J35" s="397"/>
      <c r="K35" s="397"/>
      <c r="L35" s="397"/>
      <c r="M35" s="397"/>
      <c r="N35" s="397"/>
      <c r="O35" s="397"/>
      <c r="P35" s="397"/>
      <c r="Q35" s="397"/>
      <c r="R35" s="397"/>
    </row>
    <row r="36" spans="1:18">
      <c r="A36" s="204">
        <f t="shared" si="1"/>
        <v>25</v>
      </c>
      <c r="B36" s="204" t="s">
        <v>606</v>
      </c>
      <c r="C36" s="315">
        <v>32.76</v>
      </c>
      <c r="D36" s="269">
        <v>0.89</v>
      </c>
      <c r="E36" s="315">
        <v>31.546361861932201</v>
      </c>
      <c r="F36" s="305">
        <v>0</v>
      </c>
      <c r="G36" s="315">
        <v>1113</v>
      </c>
      <c r="H36" s="305">
        <v>24.2</v>
      </c>
      <c r="I36" s="315">
        <f t="shared" si="0"/>
        <v>8.236361861932199</v>
      </c>
      <c r="J36" s="397"/>
      <c r="K36" s="397"/>
      <c r="L36" s="397"/>
      <c r="M36" s="397"/>
      <c r="N36" s="397"/>
      <c r="O36" s="397"/>
      <c r="P36" s="397"/>
      <c r="Q36" s="397"/>
      <c r="R36" s="397"/>
    </row>
    <row r="37" spans="1:18">
      <c r="A37" s="204">
        <f t="shared" si="1"/>
        <v>26</v>
      </c>
      <c r="B37" s="204" t="s">
        <v>607</v>
      </c>
      <c r="C37" s="315">
        <v>26.09</v>
      </c>
      <c r="D37" s="269">
        <v>0.71</v>
      </c>
      <c r="E37" s="315">
        <v>25.133276494745552</v>
      </c>
      <c r="F37" s="305">
        <v>0</v>
      </c>
      <c r="G37" s="315">
        <v>1113</v>
      </c>
      <c r="H37" s="305">
        <v>19.21</v>
      </c>
      <c r="I37" s="315">
        <f t="shared" si="0"/>
        <v>6.6332764947455516</v>
      </c>
      <c r="J37" s="397"/>
      <c r="K37" s="397"/>
      <c r="L37" s="397"/>
      <c r="M37" s="397"/>
      <c r="N37" s="397"/>
      <c r="O37" s="397"/>
      <c r="P37" s="397"/>
      <c r="Q37" s="397"/>
      <c r="R37" s="397"/>
    </row>
    <row r="38" spans="1:18">
      <c r="A38" s="204">
        <f t="shared" si="1"/>
        <v>27</v>
      </c>
      <c r="B38" s="204" t="s">
        <v>608</v>
      </c>
      <c r="C38" s="315">
        <v>18.399999999999999</v>
      </c>
      <c r="D38" s="269">
        <v>0.5</v>
      </c>
      <c r="E38" s="315">
        <v>17.554175606252244</v>
      </c>
      <c r="F38" s="305">
        <v>0</v>
      </c>
      <c r="G38" s="315">
        <v>1113</v>
      </c>
      <c r="H38" s="305">
        <v>13.63</v>
      </c>
      <c r="I38" s="315">
        <f t="shared" ref="I38:I44" si="2">D38+E38+F38-H38</f>
        <v>4.424175606252243</v>
      </c>
      <c r="J38" s="397"/>
      <c r="K38" s="397"/>
      <c r="L38" s="397"/>
      <c r="M38" s="397"/>
      <c r="N38" s="397"/>
      <c r="O38" s="397"/>
      <c r="P38" s="397"/>
      <c r="Q38" s="397"/>
      <c r="R38" s="397"/>
    </row>
    <row r="39" spans="1:18">
      <c r="A39" s="204">
        <f t="shared" si="1"/>
        <v>28</v>
      </c>
      <c r="B39" s="204" t="s">
        <v>609</v>
      </c>
      <c r="C39" s="315">
        <v>12.99</v>
      </c>
      <c r="D39" s="269">
        <v>0.36</v>
      </c>
      <c r="E39" s="315">
        <v>12.660671757155571</v>
      </c>
      <c r="F39" s="305">
        <v>0</v>
      </c>
      <c r="G39" s="315">
        <v>1113</v>
      </c>
      <c r="H39" s="305">
        <v>9.6300000000000008</v>
      </c>
      <c r="I39" s="315">
        <f t="shared" si="2"/>
        <v>3.3906717571555696</v>
      </c>
      <c r="J39" s="397"/>
      <c r="K39" s="397"/>
      <c r="L39" s="397"/>
      <c r="M39" s="397"/>
      <c r="N39" s="397"/>
      <c r="O39" s="397"/>
      <c r="P39" s="397"/>
      <c r="Q39" s="397"/>
      <c r="R39" s="397"/>
    </row>
    <row r="40" spans="1:18">
      <c r="A40" s="204">
        <f t="shared" si="1"/>
        <v>29</v>
      </c>
      <c r="B40" s="204" t="s">
        <v>610</v>
      </c>
      <c r="C40" s="315">
        <v>20.78</v>
      </c>
      <c r="D40" s="269">
        <v>0.56999999999999995</v>
      </c>
      <c r="E40" s="315">
        <v>20.183352539779204</v>
      </c>
      <c r="F40" s="305">
        <v>0</v>
      </c>
      <c r="G40" s="315">
        <v>1113</v>
      </c>
      <c r="H40" s="305">
        <v>15.32</v>
      </c>
      <c r="I40" s="315">
        <f t="shared" si="2"/>
        <v>5.4333525397792037</v>
      </c>
      <c r="J40" s="397"/>
      <c r="K40" s="397"/>
      <c r="L40" s="397"/>
      <c r="M40" s="397"/>
      <c r="N40" s="397"/>
      <c r="O40" s="397"/>
      <c r="P40" s="397"/>
      <c r="Q40" s="397"/>
      <c r="R40" s="397"/>
    </row>
    <row r="41" spans="1:18">
      <c r="A41" s="204">
        <f t="shared" si="1"/>
        <v>30</v>
      </c>
      <c r="B41" s="502" t="s">
        <v>611</v>
      </c>
      <c r="C41" s="315">
        <v>10.23</v>
      </c>
      <c r="D41" s="269">
        <v>0.28000000000000003</v>
      </c>
      <c r="E41" s="315">
        <v>9.9299386330631929</v>
      </c>
      <c r="F41" s="305">
        <v>0</v>
      </c>
      <c r="G41" s="315">
        <v>1113</v>
      </c>
      <c r="H41" s="305">
        <v>7.55</v>
      </c>
      <c r="I41" s="315">
        <f t="shared" si="2"/>
        <v>2.6599386330631924</v>
      </c>
      <c r="J41" s="397"/>
      <c r="K41" s="397"/>
      <c r="L41" s="397"/>
      <c r="M41" s="397"/>
      <c r="N41" s="397"/>
      <c r="O41" s="397"/>
      <c r="P41" s="397"/>
      <c r="Q41" s="397"/>
      <c r="R41" s="397"/>
    </row>
    <row r="42" spans="1:18">
      <c r="A42" s="204">
        <f t="shared" si="1"/>
        <v>31</v>
      </c>
      <c r="B42" s="502" t="s">
        <v>612</v>
      </c>
      <c r="C42" s="315">
        <v>7.99</v>
      </c>
      <c r="D42" s="269">
        <v>0.22</v>
      </c>
      <c r="E42" s="315">
        <v>7.7370771849284052</v>
      </c>
      <c r="F42" s="305">
        <v>0</v>
      </c>
      <c r="G42" s="315">
        <v>1113</v>
      </c>
      <c r="H42" s="305">
        <v>5.87</v>
      </c>
      <c r="I42" s="315">
        <f t="shared" si="2"/>
        <v>2.0870771849284049</v>
      </c>
      <c r="J42" s="397"/>
      <c r="K42" s="397"/>
      <c r="L42" s="397"/>
      <c r="M42" s="397"/>
      <c r="N42" s="397"/>
      <c r="O42" s="397"/>
      <c r="P42" s="397"/>
      <c r="Q42" s="397"/>
      <c r="R42" s="397"/>
    </row>
    <row r="43" spans="1:18">
      <c r="A43" s="204">
        <f t="shared" si="1"/>
        <v>32</v>
      </c>
      <c r="B43" s="502" t="s">
        <v>613</v>
      </c>
      <c r="C43" s="315">
        <v>10.27</v>
      </c>
      <c r="D43" s="269">
        <v>0.28000000000000003</v>
      </c>
      <c r="E43" s="315">
        <v>9.9336999734545053</v>
      </c>
      <c r="F43" s="305">
        <v>0</v>
      </c>
      <c r="G43" s="315">
        <v>1113</v>
      </c>
      <c r="H43" s="305">
        <v>7.56</v>
      </c>
      <c r="I43" s="315">
        <f t="shared" si="2"/>
        <v>2.653699973454505</v>
      </c>
      <c r="J43" s="397"/>
      <c r="K43" s="397"/>
      <c r="L43" s="397"/>
      <c r="M43" s="397"/>
      <c r="N43" s="397"/>
      <c r="O43" s="397"/>
      <c r="P43" s="397"/>
      <c r="Q43" s="397"/>
      <c r="R43" s="397"/>
    </row>
    <row r="44" spans="1:18">
      <c r="A44" s="204">
        <f t="shared" si="1"/>
        <v>33</v>
      </c>
      <c r="B44" s="502" t="s">
        <v>614</v>
      </c>
      <c r="C44" s="315">
        <v>10.029999999999999</v>
      </c>
      <c r="D44" s="269">
        <v>0.26</v>
      </c>
      <c r="E44" s="315">
        <v>9.474816445714465</v>
      </c>
      <c r="F44" s="305">
        <v>0</v>
      </c>
      <c r="G44" s="315">
        <v>1113</v>
      </c>
      <c r="H44" s="305">
        <v>7.41</v>
      </c>
      <c r="I44" s="315">
        <f t="shared" si="2"/>
        <v>2.3248164457144647</v>
      </c>
      <c r="J44" s="397"/>
      <c r="K44" s="397"/>
      <c r="L44" s="397"/>
      <c r="M44" s="397"/>
      <c r="N44" s="397"/>
      <c r="O44" s="397"/>
      <c r="P44" s="397"/>
      <c r="Q44" s="397"/>
      <c r="R44" s="397"/>
    </row>
    <row r="45" spans="1:18">
      <c r="A45" s="151"/>
      <c r="B45" s="151" t="s">
        <v>615</v>
      </c>
      <c r="C45" s="289">
        <f>SUM(C12:C44)</f>
        <v>495.3599999999999</v>
      </c>
      <c r="D45" s="289">
        <f t="shared" ref="D45:I45" si="3">SUM(D12:D44)</f>
        <v>13.600000000000001</v>
      </c>
      <c r="E45" s="289">
        <f t="shared" si="3"/>
        <v>481.76</v>
      </c>
      <c r="F45" s="289">
        <f t="shared" si="3"/>
        <v>0</v>
      </c>
      <c r="G45" s="573">
        <v>1113</v>
      </c>
      <c r="H45" s="289">
        <f t="shared" si="3"/>
        <v>355.81</v>
      </c>
      <c r="I45" s="289">
        <f t="shared" si="3"/>
        <v>139.54999999999998</v>
      </c>
      <c r="K45" s="346"/>
      <c r="L45" s="397"/>
      <c r="M45" s="346"/>
    </row>
    <row r="46" spans="1:18">
      <c r="C46" s="10"/>
      <c r="D46" s="649"/>
      <c r="E46" s="650"/>
    </row>
    <row r="47" spans="1:18" s="332" customFormat="1">
      <c r="E47" s="341"/>
      <c r="F47" s="341"/>
      <c r="G47" s="341"/>
      <c r="H47" s="341"/>
      <c r="I47" s="341"/>
    </row>
    <row r="49" spans="6:9" ht="15.75">
      <c r="F49" s="761" t="s">
        <v>908</v>
      </c>
      <c r="G49" s="761"/>
      <c r="H49" s="761"/>
      <c r="I49" s="761"/>
    </row>
    <row r="50" spans="6:9" ht="15.75">
      <c r="F50" s="761" t="s">
        <v>646</v>
      </c>
      <c r="G50" s="761"/>
      <c r="H50" s="761"/>
      <c r="I50" s="761"/>
    </row>
    <row r="51" spans="6:9" ht="14.25">
      <c r="F51" s="28"/>
      <c r="G51" s="28"/>
      <c r="H51" s="28"/>
      <c r="I51" s="28"/>
    </row>
  </sheetData>
  <mergeCells count="6">
    <mergeCell ref="F49:I49"/>
    <mergeCell ref="F50:I50"/>
    <mergeCell ref="A2:I2"/>
    <mergeCell ref="A3:I3"/>
    <mergeCell ref="D9:I9"/>
    <mergeCell ref="A5:I5"/>
  </mergeCells>
  <phoneticPr fontId="0" type="noConversion"/>
  <printOptions horizontalCentered="1"/>
  <pageMargins left="0.31" right="0.38" top="0.51" bottom="0" header="0.31496062992125984" footer="0.31496062992125984"/>
  <pageSetup paperSize="9" scale="81" orientation="landscape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topLeftCell="A21" zoomScale="81" zoomScaleNormal="70" zoomScaleSheetLayoutView="81" workbookViewId="0">
      <selection activeCell="A21" sqref="A21"/>
    </sheetView>
  </sheetViews>
  <sheetFormatPr defaultColWidth="9.140625" defaultRowHeight="12.75"/>
  <cols>
    <col min="1" max="1" width="4.42578125" style="173" customWidth="1"/>
    <col min="2" max="2" width="37.28515625" style="173" customWidth="1"/>
    <col min="3" max="3" width="12.28515625" style="173" customWidth="1"/>
    <col min="4" max="5" width="15.140625" style="173" customWidth="1"/>
    <col min="6" max="6" width="15.85546875" style="173" customWidth="1"/>
    <col min="7" max="7" width="12.5703125" style="173" customWidth="1"/>
    <col min="8" max="8" width="23.7109375" style="173" customWidth="1"/>
    <col min="9" max="16384" width="9.140625" style="173"/>
  </cols>
  <sheetData>
    <row r="1" spans="1:17" ht="15">
      <c r="D1" s="21"/>
      <c r="E1" s="21"/>
      <c r="F1" s="21"/>
      <c r="H1" s="180" t="s">
        <v>63</v>
      </c>
      <c r="I1" s="21"/>
      <c r="J1" s="25"/>
      <c r="K1" s="25"/>
    </row>
    <row r="2" spans="1:17" ht="15.75">
      <c r="A2" s="702" t="s">
        <v>0</v>
      </c>
      <c r="B2" s="702"/>
      <c r="C2" s="702"/>
      <c r="D2" s="702"/>
      <c r="E2" s="702"/>
      <c r="F2" s="702"/>
      <c r="G2" s="702"/>
      <c r="H2" s="702"/>
      <c r="I2" s="27"/>
      <c r="J2" s="27"/>
      <c r="K2" s="27"/>
    </row>
    <row r="3" spans="1:17" ht="20.25">
      <c r="A3" s="703" t="s">
        <v>737</v>
      </c>
      <c r="B3" s="703"/>
      <c r="C3" s="703"/>
      <c r="D3" s="703"/>
      <c r="E3" s="703"/>
      <c r="F3" s="703"/>
      <c r="G3" s="703"/>
      <c r="H3" s="703"/>
      <c r="I3" s="26"/>
      <c r="J3" s="26"/>
      <c r="K3" s="26"/>
    </row>
    <row r="4" spans="1:17" ht="10.5" customHeight="1"/>
    <row r="5" spans="1:17" ht="19.5" customHeight="1">
      <c r="A5" s="704" t="s">
        <v>804</v>
      </c>
      <c r="B5" s="872"/>
      <c r="C5" s="872"/>
      <c r="D5" s="872"/>
      <c r="E5" s="872"/>
      <c r="F5" s="872"/>
      <c r="G5" s="872"/>
      <c r="H5" s="872"/>
    </row>
    <row r="7" spans="1:17" s="4" customFormat="1" ht="15.75" hidden="1" customHeight="1">
      <c r="A7" s="173"/>
      <c r="B7" s="173"/>
      <c r="C7" s="173"/>
      <c r="D7" s="173"/>
      <c r="E7" s="173"/>
      <c r="F7" s="173"/>
      <c r="G7" s="173"/>
      <c r="H7" s="173"/>
      <c r="I7" s="173"/>
    </row>
    <row r="8" spans="1:17" s="4" customFormat="1" ht="15.75">
      <c r="A8" s="699" t="s">
        <v>658</v>
      </c>
      <c r="B8" s="699"/>
      <c r="C8" s="173"/>
      <c r="D8" s="173"/>
      <c r="E8" s="173"/>
      <c r="F8" s="173"/>
      <c r="G8" s="173"/>
      <c r="H8" s="181" t="s">
        <v>23</v>
      </c>
      <c r="I8" s="173"/>
    </row>
    <row r="9" spans="1:17" s="4" customFormat="1" ht="15.75">
      <c r="A9" s="5"/>
      <c r="B9" s="173"/>
      <c r="C9" s="173"/>
      <c r="D9" s="46"/>
      <c r="E9" s="46"/>
      <c r="G9" s="356" t="s">
        <v>775</v>
      </c>
      <c r="H9" s="46"/>
      <c r="P9" s="62"/>
      <c r="Q9" s="60"/>
    </row>
    <row r="10" spans="1:17" s="22" customFormat="1" ht="55.5" customHeight="1">
      <c r="A10" s="24"/>
      <c r="B10" s="150" t="s">
        <v>24</v>
      </c>
      <c r="C10" s="418" t="s">
        <v>863</v>
      </c>
      <c r="D10" s="442" t="s">
        <v>864</v>
      </c>
      <c r="E10" s="150" t="s">
        <v>221</v>
      </c>
      <c r="F10" s="150" t="s">
        <v>222</v>
      </c>
      <c r="G10" s="150" t="s">
        <v>69</v>
      </c>
      <c r="H10" s="525" t="s">
        <v>776</v>
      </c>
    </row>
    <row r="11" spans="1:17" s="22" customFormat="1" ht="14.25" customHeight="1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</row>
    <row r="12" spans="1:17" ht="16.5" customHeight="1">
      <c r="A12" s="17" t="s">
        <v>25</v>
      </c>
      <c r="B12" s="17" t="s">
        <v>26</v>
      </c>
      <c r="C12" s="870">
        <v>233</v>
      </c>
      <c r="D12" s="871">
        <v>51</v>
      </c>
      <c r="E12" s="870">
        <v>175</v>
      </c>
      <c r="F12" s="871">
        <v>0</v>
      </c>
      <c r="G12" s="873">
        <f>23+100</f>
        <v>123</v>
      </c>
      <c r="H12" s="871">
        <f>D12+E12-G12-G13-G14-G15</f>
        <v>103</v>
      </c>
    </row>
    <row r="13" spans="1:17" ht="20.25" customHeight="1">
      <c r="A13" s="8"/>
      <c r="B13" s="8" t="s">
        <v>27</v>
      </c>
      <c r="C13" s="870"/>
      <c r="D13" s="871"/>
      <c r="E13" s="870"/>
      <c r="F13" s="871"/>
      <c r="G13" s="874"/>
      <c r="H13" s="871"/>
    </row>
    <row r="14" spans="1:17" ht="17.25" customHeight="1">
      <c r="A14" s="8"/>
      <c r="B14" s="8" t="s">
        <v>185</v>
      </c>
      <c r="C14" s="870"/>
      <c r="D14" s="871"/>
      <c r="E14" s="870"/>
      <c r="F14" s="871"/>
      <c r="G14" s="874"/>
      <c r="H14" s="871"/>
    </row>
    <row r="15" spans="1:17" s="22" customFormat="1" ht="33.75" customHeight="1">
      <c r="A15" s="23"/>
      <c r="B15" s="23" t="s">
        <v>186</v>
      </c>
      <c r="C15" s="870"/>
      <c r="D15" s="871"/>
      <c r="E15" s="870"/>
      <c r="F15" s="871"/>
      <c r="G15" s="875"/>
      <c r="H15" s="871"/>
    </row>
    <row r="16" spans="1:17" s="22" customFormat="1">
      <c r="A16" s="23"/>
      <c r="B16" s="24" t="s">
        <v>28</v>
      </c>
      <c r="C16" s="403">
        <f>SUM(C12)</f>
        <v>233</v>
      </c>
      <c r="D16" s="316">
        <f>SUM(D12)</f>
        <v>51</v>
      </c>
      <c r="E16" s="316">
        <f>SUM(E12)</f>
        <v>175</v>
      </c>
      <c r="F16" s="316">
        <f>SUM(F12)</f>
        <v>0</v>
      </c>
      <c r="G16" s="316">
        <f>SUM(G12:G15)</f>
        <v>123</v>
      </c>
      <c r="H16" s="316">
        <f>SUM(H12)</f>
        <v>103</v>
      </c>
    </row>
    <row r="17" spans="1:8" s="22" customFormat="1" ht="40.5" customHeight="1">
      <c r="A17" s="24" t="s">
        <v>29</v>
      </c>
      <c r="B17" s="24" t="s">
        <v>220</v>
      </c>
      <c r="C17" s="869">
        <v>240.72</v>
      </c>
      <c r="D17" s="869">
        <v>56.069999999999993</v>
      </c>
      <c r="E17" s="869">
        <v>191.65</v>
      </c>
      <c r="F17" s="869">
        <v>0</v>
      </c>
      <c r="G17" s="343"/>
      <c r="H17" s="869">
        <f>D17+E17-G17-G18-G19-G20-G21-G22-G23-G24</f>
        <v>138.36000000000001</v>
      </c>
    </row>
    <row r="18" spans="1:8" ht="28.5" customHeight="1">
      <c r="A18" s="8"/>
      <c r="B18" s="70" t="s">
        <v>188</v>
      </c>
      <c r="C18" s="869"/>
      <c r="D18" s="869"/>
      <c r="E18" s="869"/>
      <c r="F18" s="869"/>
      <c r="G18" s="344">
        <v>23.79</v>
      </c>
      <c r="H18" s="869"/>
    </row>
    <row r="19" spans="1:8" ht="19.5" customHeight="1">
      <c r="A19" s="8"/>
      <c r="B19" s="23" t="s">
        <v>30</v>
      </c>
      <c r="C19" s="869"/>
      <c r="D19" s="869"/>
      <c r="E19" s="869"/>
      <c r="F19" s="869"/>
      <c r="G19" s="344"/>
      <c r="H19" s="869"/>
    </row>
    <row r="20" spans="1:8" ht="21.75" customHeight="1">
      <c r="A20" s="8"/>
      <c r="B20" s="23" t="s">
        <v>189</v>
      </c>
      <c r="C20" s="869"/>
      <c r="D20" s="869"/>
      <c r="E20" s="869"/>
      <c r="F20" s="869"/>
      <c r="G20" s="344">
        <v>85.57</v>
      </c>
      <c r="H20" s="869"/>
    </row>
    <row r="21" spans="1:8" s="22" customFormat="1" ht="27.75" customHeight="1">
      <c r="A21" s="23"/>
      <c r="B21" s="23" t="s">
        <v>31</v>
      </c>
      <c r="C21" s="869"/>
      <c r="D21" s="869"/>
      <c r="E21" s="869"/>
      <c r="F21" s="869"/>
      <c r="G21" s="343"/>
      <c r="H21" s="869"/>
    </row>
    <row r="22" spans="1:8" s="22" customFormat="1" ht="19.5" customHeight="1">
      <c r="A22" s="23"/>
      <c r="B22" s="23" t="s">
        <v>187</v>
      </c>
      <c r="C22" s="869"/>
      <c r="D22" s="869"/>
      <c r="E22" s="869"/>
      <c r="F22" s="869"/>
      <c r="G22" s="343"/>
      <c r="H22" s="869"/>
    </row>
    <row r="23" spans="1:8" s="22" customFormat="1" ht="27.75" customHeight="1">
      <c r="A23" s="23"/>
      <c r="B23" s="23" t="s">
        <v>190</v>
      </c>
      <c r="C23" s="869"/>
      <c r="D23" s="869"/>
      <c r="E23" s="869"/>
      <c r="F23" s="869"/>
      <c r="G23" s="343"/>
      <c r="H23" s="869"/>
    </row>
    <row r="24" spans="1:8" s="22" customFormat="1" ht="18.75" customHeight="1">
      <c r="A24" s="24"/>
      <c r="B24" s="23" t="s">
        <v>191</v>
      </c>
      <c r="C24" s="869"/>
      <c r="D24" s="869"/>
      <c r="E24" s="869"/>
      <c r="F24" s="869"/>
      <c r="G24" s="343"/>
      <c r="H24" s="869"/>
    </row>
    <row r="25" spans="1:8" s="22" customFormat="1" ht="19.5" customHeight="1">
      <c r="A25" s="24"/>
      <c r="B25" s="24" t="s">
        <v>28</v>
      </c>
      <c r="C25" s="345">
        <f>SUM(C17)</f>
        <v>240.72</v>
      </c>
      <c r="D25" s="345">
        <f>SUM(D17)</f>
        <v>56.069999999999993</v>
      </c>
      <c r="E25" s="345">
        <f>SUM(E17)</f>
        <v>191.65</v>
      </c>
      <c r="F25" s="345">
        <f>SUM(F17)</f>
        <v>0</v>
      </c>
      <c r="G25" s="345">
        <f>SUM(G17:G24)</f>
        <v>109.35999999999999</v>
      </c>
      <c r="H25" s="345">
        <f>SUM(H17)</f>
        <v>138.36000000000001</v>
      </c>
    </row>
    <row r="26" spans="1:8">
      <c r="A26" s="8"/>
      <c r="B26" s="17" t="s">
        <v>32</v>
      </c>
      <c r="C26" s="345">
        <f t="shared" ref="C26:H26" si="0">C25+C16</f>
        <v>473.72</v>
      </c>
      <c r="D26" s="345">
        <f t="shared" si="0"/>
        <v>107.07</v>
      </c>
      <c r="E26" s="345">
        <f t="shared" si="0"/>
        <v>366.65</v>
      </c>
      <c r="F26" s="345">
        <f t="shared" si="0"/>
        <v>0</v>
      </c>
      <c r="G26" s="345">
        <f t="shared" si="0"/>
        <v>232.35999999999999</v>
      </c>
      <c r="H26" s="345">
        <f t="shared" si="0"/>
        <v>241.36</v>
      </c>
    </row>
    <row r="27" spans="1:8" s="22" customFormat="1" ht="15.75" customHeight="1"/>
    <row r="28" spans="1:8" s="342" customFormat="1" ht="15.75" customHeight="1"/>
    <row r="31" spans="1:8" ht="15.75">
      <c r="E31" s="761" t="s">
        <v>908</v>
      </c>
      <c r="F31" s="761"/>
      <c r="G31" s="761"/>
      <c r="H31" s="761"/>
    </row>
    <row r="32" spans="1:8" ht="15.75">
      <c r="E32" s="761" t="s">
        <v>646</v>
      </c>
      <c r="F32" s="761"/>
      <c r="G32" s="761"/>
      <c r="H32" s="761"/>
    </row>
  </sheetData>
  <mergeCells count="17">
    <mergeCell ref="E31:H31"/>
    <mergeCell ref="E32:H32"/>
    <mergeCell ref="D17:D24"/>
    <mergeCell ref="E17:E24"/>
    <mergeCell ref="F17:F24"/>
    <mergeCell ref="C17:C24"/>
    <mergeCell ref="H17:H24"/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12:G15"/>
  </mergeCells>
  <phoneticPr fontId="0" type="noConversion"/>
  <printOptions horizontalCentered="1"/>
  <pageMargins left="0.42" right="0.37" top="0.44" bottom="0" header="0.31496062992125984" footer="0.31496062992125984"/>
  <pageSetup paperSize="9" scale="8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topLeftCell="A25" zoomScale="85" zoomScaleNormal="70" zoomScaleSheetLayoutView="85" workbookViewId="0">
      <selection activeCell="A27" sqref="A27"/>
    </sheetView>
  </sheetViews>
  <sheetFormatPr defaultColWidth="9.140625" defaultRowHeight="12.75"/>
  <cols>
    <col min="1" max="1" width="9.140625" style="173"/>
    <col min="2" max="2" width="19.28515625" style="173" customWidth="1"/>
    <col min="3" max="3" width="28.42578125" style="173" customWidth="1"/>
    <col min="4" max="4" width="27.7109375" style="173" customWidth="1"/>
    <col min="5" max="5" width="30.28515625" style="173" customWidth="1"/>
    <col min="6" max="8" width="9.140625" style="579"/>
    <col min="9" max="16384" width="9.140625" style="173"/>
  </cols>
  <sheetData>
    <row r="1" spans="1:18" ht="15.75">
      <c r="E1" s="180" t="s">
        <v>503</v>
      </c>
      <c r="F1" s="440"/>
    </row>
    <row r="2" spans="1:18" ht="15.75">
      <c r="A2" s="702" t="s">
        <v>0</v>
      </c>
      <c r="B2" s="702"/>
      <c r="C2" s="702"/>
      <c r="D2" s="702"/>
      <c r="E2" s="702"/>
      <c r="F2" s="27"/>
    </row>
    <row r="3" spans="1:18" ht="20.25">
      <c r="A3" s="278"/>
      <c r="B3" s="277"/>
      <c r="C3" s="26" t="s">
        <v>737</v>
      </c>
      <c r="D3" s="26"/>
      <c r="E3" s="26"/>
      <c r="F3" s="26"/>
    </row>
    <row r="4" spans="1:18" ht="10.5" customHeight="1"/>
    <row r="5" spans="1:18" ht="30.75" customHeight="1">
      <c r="A5" s="868" t="s">
        <v>805</v>
      </c>
      <c r="B5" s="868"/>
      <c r="C5" s="868"/>
      <c r="D5" s="868"/>
      <c r="E5" s="868"/>
    </row>
    <row r="7" spans="1:18" ht="0.75" customHeight="1"/>
    <row r="8" spans="1:18">
      <c r="A8" s="5" t="s">
        <v>662</v>
      </c>
    </row>
    <row r="9" spans="1:18">
      <c r="D9" s="829" t="s">
        <v>771</v>
      </c>
      <c r="E9" s="829"/>
      <c r="Q9" s="8"/>
      <c r="R9" s="10"/>
    </row>
    <row r="10" spans="1:18" ht="26.25" customHeight="1">
      <c r="A10" s="668" t="s">
        <v>2</v>
      </c>
      <c r="B10" s="668" t="s">
        <v>3</v>
      </c>
      <c r="C10" s="876" t="s">
        <v>499</v>
      </c>
      <c r="D10" s="877"/>
      <c r="E10" s="878"/>
      <c r="Q10" s="10"/>
      <c r="R10" s="10"/>
    </row>
    <row r="11" spans="1:18" ht="56.25" customHeight="1">
      <c r="A11" s="668"/>
      <c r="B11" s="668"/>
      <c r="C11" s="150" t="s">
        <v>501</v>
      </c>
      <c r="D11" s="150" t="s">
        <v>502</v>
      </c>
      <c r="E11" s="150" t="s">
        <v>500</v>
      </c>
    </row>
    <row r="12" spans="1:18" s="56" customFormat="1" ht="15.75" customHeight="1">
      <c r="A12" s="32">
        <v>1</v>
      </c>
      <c r="B12" s="31">
        <v>2</v>
      </c>
      <c r="C12" s="32">
        <v>3</v>
      </c>
      <c r="D12" s="31">
        <v>4</v>
      </c>
      <c r="E12" s="32">
        <v>5</v>
      </c>
      <c r="F12" s="10"/>
      <c r="G12" s="10"/>
      <c r="H12" s="10"/>
    </row>
    <row r="13" spans="1:18" s="56" customFormat="1">
      <c r="A13" s="204">
        <v>1</v>
      </c>
      <c r="B13" s="204" t="s">
        <v>624</v>
      </c>
      <c r="C13" s="75">
        <v>0</v>
      </c>
      <c r="D13" s="75">
        <v>0</v>
      </c>
      <c r="E13" s="75">
        <v>1002</v>
      </c>
      <c r="F13" s="10"/>
      <c r="G13" s="10"/>
      <c r="H13" s="10"/>
    </row>
    <row r="14" spans="1:18" s="56" customFormat="1">
      <c r="A14" s="204">
        <f>A13+1</f>
        <v>2</v>
      </c>
      <c r="B14" s="204" t="s">
        <v>589</v>
      </c>
      <c r="C14" s="75">
        <v>0</v>
      </c>
      <c r="D14" s="75">
        <v>2</v>
      </c>
      <c r="E14" s="75">
        <v>1098</v>
      </c>
      <c r="F14" s="10"/>
      <c r="G14" s="10"/>
      <c r="H14" s="10"/>
    </row>
    <row r="15" spans="1:18" s="56" customFormat="1">
      <c r="A15" s="204">
        <f t="shared" ref="A15:A45" si="0">A14+1</f>
        <v>3</v>
      </c>
      <c r="B15" s="204" t="s">
        <v>625</v>
      </c>
      <c r="C15" s="75">
        <v>0</v>
      </c>
      <c r="D15" s="75">
        <v>1</v>
      </c>
      <c r="E15" s="48">
        <v>886</v>
      </c>
      <c r="F15" s="10"/>
      <c r="G15" s="10"/>
      <c r="H15" s="10"/>
    </row>
    <row r="16" spans="1:18" s="56" customFormat="1">
      <c r="A16" s="204">
        <f t="shared" si="0"/>
        <v>4</v>
      </c>
      <c r="B16" s="204" t="s">
        <v>590</v>
      </c>
      <c r="C16" s="75">
        <v>0</v>
      </c>
      <c r="D16" s="48">
        <v>1</v>
      </c>
      <c r="E16" s="75">
        <v>612</v>
      </c>
      <c r="F16" s="10"/>
      <c r="G16" s="10"/>
      <c r="H16" s="10"/>
    </row>
    <row r="17" spans="1:8" s="56" customFormat="1">
      <c r="A17" s="204">
        <f t="shared" si="0"/>
        <v>5</v>
      </c>
      <c r="B17" s="204" t="s">
        <v>591</v>
      </c>
      <c r="C17" s="75">
        <v>0</v>
      </c>
      <c r="D17" s="48">
        <v>2</v>
      </c>
      <c r="E17" s="75">
        <v>463</v>
      </c>
      <c r="F17" s="10"/>
      <c r="G17" s="10"/>
      <c r="H17" s="10"/>
    </row>
    <row r="18" spans="1:8" s="56" customFormat="1">
      <c r="A18" s="204">
        <f t="shared" si="0"/>
        <v>6</v>
      </c>
      <c r="B18" s="204" t="s">
        <v>592</v>
      </c>
      <c r="C18" s="75">
        <v>0</v>
      </c>
      <c r="D18" s="48">
        <v>2</v>
      </c>
      <c r="E18" s="75">
        <v>386</v>
      </c>
      <c r="F18" s="10"/>
      <c r="G18" s="10"/>
      <c r="H18" s="10"/>
    </row>
    <row r="19" spans="1:8" s="56" customFormat="1">
      <c r="A19" s="204">
        <f t="shared" si="0"/>
        <v>7</v>
      </c>
      <c r="B19" s="204" t="s">
        <v>593</v>
      </c>
      <c r="C19" s="75">
        <v>0</v>
      </c>
      <c r="D19" s="75">
        <v>1</v>
      </c>
      <c r="E19" s="48">
        <v>394</v>
      </c>
      <c r="F19" s="10"/>
      <c r="G19" s="10"/>
      <c r="H19" s="10"/>
    </row>
    <row r="20" spans="1:8" s="56" customFormat="1">
      <c r="A20" s="204">
        <f t="shared" si="0"/>
        <v>8</v>
      </c>
      <c r="B20" s="204" t="s">
        <v>594</v>
      </c>
      <c r="C20" s="75">
        <v>1</v>
      </c>
      <c r="D20" s="75">
        <v>2</v>
      </c>
      <c r="E20" s="75">
        <v>1008</v>
      </c>
      <c r="F20" s="10"/>
      <c r="G20" s="10"/>
      <c r="H20" s="10"/>
    </row>
    <row r="21" spans="1:8" s="56" customFormat="1">
      <c r="A21" s="204">
        <f t="shared" si="0"/>
        <v>9</v>
      </c>
      <c r="B21" s="204" t="s">
        <v>595</v>
      </c>
      <c r="C21" s="75">
        <v>0</v>
      </c>
      <c r="D21" s="48">
        <v>2</v>
      </c>
      <c r="E21" s="75">
        <v>516</v>
      </c>
      <c r="F21" s="10"/>
      <c r="G21" s="10"/>
      <c r="H21" s="10"/>
    </row>
    <row r="22" spans="1:8" s="56" customFormat="1">
      <c r="A22" s="204">
        <f t="shared" si="0"/>
        <v>10</v>
      </c>
      <c r="B22" s="204" t="s">
        <v>596</v>
      </c>
      <c r="C22" s="75">
        <v>0</v>
      </c>
      <c r="D22" s="48">
        <v>1</v>
      </c>
      <c r="E22" s="75">
        <v>1069</v>
      </c>
      <c r="F22" s="10"/>
      <c r="G22" s="10"/>
      <c r="H22" s="10"/>
    </row>
    <row r="23" spans="1:8" s="56" customFormat="1">
      <c r="A23" s="204">
        <f t="shared" si="0"/>
        <v>11</v>
      </c>
      <c r="B23" s="204" t="s">
        <v>626</v>
      </c>
      <c r="C23" s="75">
        <v>0</v>
      </c>
      <c r="D23" s="75">
        <v>1</v>
      </c>
      <c r="E23" s="75">
        <v>873</v>
      </c>
      <c r="F23" s="10"/>
      <c r="G23" s="10"/>
      <c r="H23" s="10"/>
    </row>
    <row r="24" spans="1:8" s="56" customFormat="1">
      <c r="A24" s="204">
        <f t="shared" si="0"/>
        <v>12</v>
      </c>
      <c r="B24" s="204" t="s">
        <v>597</v>
      </c>
      <c r="C24" s="75">
        <v>1</v>
      </c>
      <c r="D24" s="75">
        <v>1</v>
      </c>
      <c r="E24" s="75">
        <v>823</v>
      </c>
      <c r="F24" s="10"/>
      <c r="G24" s="10"/>
      <c r="H24" s="10"/>
    </row>
    <row r="25" spans="1:8" s="56" customFormat="1">
      <c r="A25" s="204">
        <f t="shared" si="0"/>
        <v>13</v>
      </c>
      <c r="B25" s="204" t="s">
        <v>598</v>
      </c>
      <c r="C25" s="75">
        <v>0</v>
      </c>
      <c r="D25" s="48">
        <v>1</v>
      </c>
      <c r="E25" s="75">
        <v>785</v>
      </c>
      <c r="F25" s="10"/>
      <c r="G25" s="10"/>
      <c r="H25" s="10"/>
    </row>
    <row r="26" spans="1:8" s="56" customFormat="1">
      <c r="A26" s="204">
        <f t="shared" si="0"/>
        <v>14</v>
      </c>
      <c r="B26" s="204" t="s">
        <v>627</v>
      </c>
      <c r="C26" s="75">
        <v>0</v>
      </c>
      <c r="D26" s="48">
        <v>1</v>
      </c>
      <c r="E26" s="75">
        <v>686</v>
      </c>
      <c r="F26" s="10"/>
      <c r="G26" s="10"/>
      <c r="H26" s="10"/>
    </row>
    <row r="27" spans="1:8" s="56" customFormat="1">
      <c r="A27" s="204">
        <f t="shared" si="0"/>
        <v>15</v>
      </c>
      <c r="B27" s="204" t="s">
        <v>599</v>
      </c>
      <c r="C27" s="75">
        <v>0</v>
      </c>
      <c r="D27" s="75">
        <v>3</v>
      </c>
      <c r="E27" s="75">
        <v>784</v>
      </c>
      <c r="F27" s="10"/>
      <c r="G27" s="10"/>
      <c r="H27" s="10"/>
    </row>
    <row r="28" spans="1:8" s="56" customFormat="1">
      <c r="A28" s="204">
        <f t="shared" si="0"/>
        <v>16</v>
      </c>
      <c r="B28" s="204" t="s">
        <v>600</v>
      </c>
      <c r="C28" s="75">
        <v>0</v>
      </c>
      <c r="D28" s="48">
        <v>1</v>
      </c>
      <c r="E28" s="75">
        <v>514</v>
      </c>
      <c r="F28" s="10"/>
      <c r="G28" s="10"/>
      <c r="H28" s="10"/>
    </row>
    <row r="29" spans="1:8" s="56" customFormat="1">
      <c r="A29" s="204">
        <f t="shared" si="0"/>
        <v>17</v>
      </c>
      <c r="B29" s="529" t="s">
        <v>684</v>
      </c>
      <c r="C29" s="75">
        <v>0</v>
      </c>
      <c r="D29" s="48">
        <v>2</v>
      </c>
      <c r="E29" s="75">
        <v>332</v>
      </c>
      <c r="F29" s="10"/>
      <c r="G29" s="10"/>
      <c r="H29" s="10"/>
    </row>
    <row r="30" spans="1:8" s="56" customFormat="1">
      <c r="A30" s="204">
        <f t="shared" si="0"/>
        <v>18</v>
      </c>
      <c r="B30" s="204" t="s">
        <v>601</v>
      </c>
      <c r="C30" s="75">
        <v>0</v>
      </c>
      <c r="D30" s="48">
        <v>3</v>
      </c>
      <c r="E30" s="75">
        <v>758</v>
      </c>
      <c r="F30" s="10"/>
      <c r="G30" s="10"/>
      <c r="H30" s="10"/>
    </row>
    <row r="31" spans="1:8">
      <c r="A31" s="204">
        <f t="shared" si="0"/>
        <v>19</v>
      </c>
      <c r="B31" s="204" t="s">
        <v>602</v>
      </c>
      <c r="C31" s="75">
        <v>1</v>
      </c>
      <c r="D31" s="75">
        <v>4</v>
      </c>
      <c r="E31" s="75">
        <v>1263</v>
      </c>
    </row>
    <row r="32" spans="1:8" s="527" customFormat="1">
      <c r="A32" s="204">
        <f t="shared" si="0"/>
        <v>20</v>
      </c>
      <c r="B32" s="529" t="s">
        <v>683</v>
      </c>
      <c r="C32" s="75">
        <v>0</v>
      </c>
      <c r="D32" s="75">
        <v>1</v>
      </c>
      <c r="E32" s="75">
        <v>482</v>
      </c>
      <c r="F32" s="579"/>
      <c r="G32" s="579"/>
      <c r="H32" s="579"/>
    </row>
    <row r="33" spans="1:5">
      <c r="A33" s="204">
        <f t="shared" si="0"/>
        <v>21</v>
      </c>
      <c r="B33" s="529" t="s">
        <v>628</v>
      </c>
      <c r="C33" s="75">
        <v>0</v>
      </c>
      <c r="D33" s="75">
        <v>2</v>
      </c>
      <c r="E33" s="75">
        <v>729</v>
      </c>
    </row>
    <row r="34" spans="1:5" ht="38.25">
      <c r="A34" s="204">
        <f t="shared" si="0"/>
        <v>22</v>
      </c>
      <c r="B34" s="204" t="s">
        <v>603</v>
      </c>
      <c r="C34" s="48" t="s">
        <v>887</v>
      </c>
      <c r="D34" s="75">
        <v>1</v>
      </c>
      <c r="E34" s="75">
        <v>1200</v>
      </c>
    </row>
    <row r="35" spans="1:5">
      <c r="A35" s="204">
        <f t="shared" si="0"/>
        <v>23</v>
      </c>
      <c r="B35" s="204" t="s">
        <v>604</v>
      </c>
      <c r="C35" s="75">
        <v>0</v>
      </c>
      <c r="D35" s="75">
        <v>2</v>
      </c>
      <c r="E35" s="75">
        <v>512</v>
      </c>
    </row>
    <row r="36" spans="1:5" ht="15.75" customHeight="1">
      <c r="A36" s="204">
        <f t="shared" si="0"/>
        <v>24</v>
      </c>
      <c r="B36" s="204" t="s">
        <v>605</v>
      </c>
      <c r="C36" s="352">
        <v>0</v>
      </c>
      <c r="D36" s="75">
        <v>2</v>
      </c>
      <c r="E36" s="75">
        <v>426</v>
      </c>
    </row>
    <row r="37" spans="1:5" ht="12.75" customHeight="1">
      <c r="A37" s="204">
        <f t="shared" si="0"/>
        <v>25</v>
      </c>
      <c r="B37" s="204" t="s">
        <v>606</v>
      </c>
      <c r="C37" s="75">
        <v>0</v>
      </c>
      <c r="D37" s="75">
        <v>2</v>
      </c>
      <c r="E37" s="75">
        <v>1285</v>
      </c>
    </row>
    <row r="38" spans="1:5" ht="12.75" customHeight="1">
      <c r="A38" s="204">
        <f t="shared" si="0"/>
        <v>26</v>
      </c>
      <c r="B38" s="204" t="s">
        <v>607</v>
      </c>
      <c r="C38" s="587">
        <v>1</v>
      </c>
      <c r="D38" s="587">
        <v>1</v>
      </c>
      <c r="E38" s="587">
        <v>1156</v>
      </c>
    </row>
    <row r="39" spans="1:5">
      <c r="A39" s="204">
        <f t="shared" si="0"/>
        <v>27</v>
      </c>
      <c r="B39" s="204" t="s">
        <v>608</v>
      </c>
      <c r="C39" s="75">
        <v>0</v>
      </c>
      <c r="D39" s="75">
        <v>2</v>
      </c>
      <c r="E39" s="75">
        <v>928</v>
      </c>
    </row>
    <row r="40" spans="1:5">
      <c r="A40" s="204">
        <f t="shared" si="0"/>
        <v>28</v>
      </c>
      <c r="B40" s="204" t="s">
        <v>609</v>
      </c>
      <c r="C40" s="75">
        <v>1</v>
      </c>
      <c r="D40" s="75">
        <v>2</v>
      </c>
      <c r="E40" s="75">
        <v>924</v>
      </c>
    </row>
    <row r="41" spans="1:5">
      <c r="A41" s="204">
        <f t="shared" si="0"/>
        <v>29</v>
      </c>
      <c r="B41" s="204" t="s">
        <v>610</v>
      </c>
      <c r="C41" s="75">
        <v>0</v>
      </c>
      <c r="D41" s="75">
        <v>1</v>
      </c>
      <c r="E41" s="75">
        <v>1005</v>
      </c>
    </row>
    <row r="42" spans="1:5">
      <c r="A42" s="204">
        <f t="shared" si="0"/>
        <v>30</v>
      </c>
      <c r="B42" s="502" t="s">
        <v>611</v>
      </c>
      <c r="C42" s="75">
        <v>0</v>
      </c>
      <c r="D42" s="75">
        <v>2</v>
      </c>
      <c r="E42" s="75">
        <v>486</v>
      </c>
    </row>
    <row r="43" spans="1:5">
      <c r="A43" s="204">
        <f t="shared" si="0"/>
        <v>31</v>
      </c>
      <c r="B43" s="502" t="s">
        <v>612</v>
      </c>
      <c r="C43" s="75">
        <v>0</v>
      </c>
      <c r="D43" s="75">
        <v>1</v>
      </c>
      <c r="E43" s="75">
        <v>545</v>
      </c>
    </row>
    <row r="44" spans="1:5">
      <c r="A44" s="204">
        <f t="shared" si="0"/>
        <v>32</v>
      </c>
      <c r="B44" s="502" t="s">
        <v>613</v>
      </c>
      <c r="C44" s="75">
        <v>0</v>
      </c>
      <c r="D44" s="75">
        <v>3</v>
      </c>
      <c r="E44" s="75">
        <v>524</v>
      </c>
    </row>
    <row r="45" spans="1:5">
      <c r="A45" s="204">
        <f t="shared" si="0"/>
        <v>33</v>
      </c>
      <c r="B45" s="502" t="s">
        <v>614</v>
      </c>
      <c r="C45" s="75">
        <v>0</v>
      </c>
      <c r="D45" s="75">
        <v>2</v>
      </c>
      <c r="E45" s="75">
        <v>552</v>
      </c>
    </row>
    <row r="46" spans="1:5">
      <c r="A46" s="151"/>
      <c r="B46" s="151" t="s">
        <v>615</v>
      </c>
      <c r="C46" s="578">
        <v>7</v>
      </c>
      <c r="D46" s="578">
        <f>SUM(D13:D45)</f>
        <v>55</v>
      </c>
      <c r="E46" s="578">
        <f>SUM(E13:E45)</f>
        <v>25006</v>
      </c>
    </row>
    <row r="47" spans="1:5">
      <c r="E47" s="18"/>
    </row>
    <row r="48" spans="1:5">
      <c r="E48" s="3"/>
    </row>
    <row r="49" spans="3:8">
      <c r="F49" s="699"/>
      <c r="G49" s="699"/>
      <c r="H49" s="699"/>
    </row>
    <row r="50" spans="3:8" ht="15.75">
      <c r="D50" s="761" t="s">
        <v>908</v>
      </c>
      <c r="E50" s="761"/>
    </row>
    <row r="51" spans="3:8" ht="15.75">
      <c r="C51" s="287"/>
      <c r="D51" s="761" t="s">
        <v>646</v>
      </c>
      <c r="E51" s="761"/>
    </row>
  </sheetData>
  <mergeCells count="9">
    <mergeCell ref="D51:E51"/>
    <mergeCell ref="D50:E50"/>
    <mergeCell ref="A2:E2"/>
    <mergeCell ref="A5:E5"/>
    <mergeCell ref="F49:H49"/>
    <mergeCell ref="C10:E10"/>
    <mergeCell ref="D9:E9"/>
    <mergeCell ref="B10:B11"/>
    <mergeCell ref="A10:A11"/>
  </mergeCells>
  <printOptions horizontalCentered="1"/>
  <pageMargins left="0.49" right="0.55000000000000004" top="0.44" bottom="0" header="0.31496062992125984" footer="0.31496062992125984"/>
  <pageSetup paperSize="9" scale="74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zoomScale="86" zoomScaleNormal="70" zoomScaleSheetLayoutView="86" workbookViewId="0">
      <selection activeCell="A3" sqref="A3:T3"/>
    </sheetView>
  </sheetViews>
  <sheetFormatPr defaultColWidth="9.140625" defaultRowHeight="12.75"/>
  <cols>
    <col min="1" max="1" width="9.28515625" style="5" customWidth="1"/>
    <col min="2" max="3" width="8.5703125" style="5" customWidth="1"/>
    <col min="4" max="4" width="12" style="5" customWidth="1"/>
    <col min="5" max="5" width="8.5703125" style="5" customWidth="1"/>
    <col min="6" max="6" width="9.5703125" style="5" customWidth="1"/>
    <col min="7" max="7" width="8.5703125" style="5" customWidth="1"/>
    <col min="8" max="8" width="11.7109375" style="5" customWidth="1"/>
    <col min="9" max="15" width="8.5703125" style="5" customWidth="1"/>
    <col min="16" max="16" width="8.42578125" style="5" customWidth="1"/>
    <col min="17" max="19" width="8.5703125" style="5" customWidth="1"/>
    <col min="20" max="20" width="9.7109375" style="5" customWidth="1"/>
    <col min="21" max="16384" width="9.140625" style="5"/>
  </cols>
  <sheetData>
    <row r="1" spans="1:20">
      <c r="A1" s="5" t="s">
        <v>11</v>
      </c>
      <c r="H1" s="700"/>
      <c r="I1" s="700"/>
      <c r="R1" s="698" t="s">
        <v>52</v>
      </c>
      <c r="S1" s="698"/>
    </row>
    <row r="2" spans="1:20" s="4" customFormat="1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</row>
    <row r="3" spans="1:20" s="4" customFormat="1" ht="20.25" customHeight="1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</row>
    <row r="5" spans="1:20" s="4" customFormat="1" ht="15.75">
      <c r="A5" s="704" t="s">
        <v>741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</row>
    <row r="6" spans="1:20">
      <c r="A6" s="21" t="s">
        <v>658</v>
      </c>
      <c r="B6" s="21"/>
    </row>
    <row r="7" spans="1:20">
      <c r="A7" s="699" t="s">
        <v>164</v>
      </c>
      <c r="B7" s="699"/>
      <c r="C7" s="699"/>
      <c r="D7" s="699"/>
      <c r="E7" s="699"/>
      <c r="F7" s="699"/>
      <c r="G7" s="699"/>
      <c r="H7" s="699"/>
      <c r="I7" s="699"/>
      <c r="R7" s="18"/>
      <c r="S7" s="18"/>
    </row>
    <row r="9" spans="1:20" ht="18" customHeight="1">
      <c r="A9" s="150"/>
      <c r="B9" s="668" t="s">
        <v>39</v>
      </c>
      <c r="C9" s="668"/>
      <c r="D9" s="668" t="s">
        <v>40</v>
      </c>
      <c r="E9" s="668"/>
      <c r="F9" s="668" t="s">
        <v>41</v>
      </c>
      <c r="G9" s="668"/>
      <c r="H9" s="701" t="s">
        <v>42</v>
      </c>
      <c r="I9" s="701"/>
      <c r="J9" s="668" t="s">
        <v>43</v>
      </c>
      <c r="K9" s="668"/>
      <c r="L9" s="14" t="s">
        <v>16</v>
      </c>
    </row>
    <row r="10" spans="1:20" s="33" customFormat="1" ht="13.5" customHeight="1">
      <c r="A10" s="149">
        <v>1</v>
      </c>
      <c r="B10" s="685">
        <v>2</v>
      </c>
      <c r="C10" s="685"/>
      <c r="D10" s="685">
        <v>3</v>
      </c>
      <c r="E10" s="685"/>
      <c r="F10" s="685">
        <v>4</v>
      </c>
      <c r="G10" s="685"/>
      <c r="H10" s="685">
        <v>5</v>
      </c>
      <c r="I10" s="685"/>
      <c r="J10" s="685">
        <v>6</v>
      </c>
      <c r="K10" s="685"/>
      <c r="L10" s="149">
        <v>7</v>
      </c>
    </row>
    <row r="11" spans="1:20">
      <c r="A11" s="144" t="s">
        <v>44</v>
      </c>
      <c r="B11" s="673">
        <v>1530</v>
      </c>
      <c r="C11" s="674"/>
      <c r="D11" s="673">
        <v>1116</v>
      </c>
      <c r="E11" s="674"/>
      <c r="F11" s="673">
        <v>3156</v>
      </c>
      <c r="G11" s="674"/>
      <c r="H11" s="673">
        <v>782</v>
      </c>
      <c r="I11" s="674"/>
      <c r="J11" s="673">
        <v>424</v>
      </c>
      <c r="K11" s="674"/>
      <c r="L11" s="143">
        <f>SUM(B11:K11)</f>
        <v>7008</v>
      </c>
    </row>
    <row r="12" spans="1:20">
      <c r="A12" s="144" t="s">
        <v>45</v>
      </c>
      <c r="B12" s="673">
        <f>11096-5</f>
        <v>11091</v>
      </c>
      <c r="C12" s="674"/>
      <c r="D12" s="673">
        <f>8932-6</f>
        <v>8926</v>
      </c>
      <c r="E12" s="674"/>
      <c r="F12" s="673">
        <f>23030-20</f>
        <v>23010</v>
      </c>
      <c r="G12" s="674"/>
      <c r="H12" s="673">
        <v>2555</v>
      </c>
      <c r="I12" s="674"/>
      <c r="J12" s="673">
        <v>1611</v>
      </c>
      <c r="K12" s="674"/>
      <c r="L12" s="354">
        <f>SUM(B12:K12)</f>
        <v>47193</v>
      </c>
    </row>
    <row r="13" spans="1:20">
      <c r="A13" s="144" t="s">
        <v>16</v>
      </c>
      <c r="B13" s="695">
        <f>SUM(B11:C12)</f>
        <v>12621</v>
      </c>
      <c r="C13" s="695"/>
      <c r="D13" s="695">
        <f>SUM(D11:E12)</f>
        <v>10042</v>
      </c>
      <c r="E13" s="695"/>
      <c r="F13" s="695">
        <f>SUM(F11:G12)</f>
        <v>26166</v>
      </c>
      <c r="G13" s="695"/>
      <c r="H13" s="695">
        <f>SUM(H11:I12)</f>
        <v>3337</v>
      </c>
      <c r="I13" s="695"/>
      <c r="J13" s="695">
        <f>SUM(J11:K12)</f>
        <v>2035</v>
      </c>
      <c r="K13" s="695"/>
      <c r="L13" s="553">
        <f>SUM(L11:L12)</f>
        <v>54201</v>
      </c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20">
      <c r="A15" s="708" t="s">
        <v>418</v>
      </c>
      <c r="B15" s="708"/>
      <c r="C15" s="708"/>
      <c r="D15" s="708"/>
      <c r="E15" s="708"/>
      <c r="F15" s="708"/>
      <c r="G15" s="708"/>
      <c r="H15" s="3"/>
      <c r="I15" s="3"/>
      <c r="J15" s="3"/>
      <c r="K15" s="3"/>
      <c r="L15" s="3"/>
    </row>
    <row r="16" spans="1:20" ht="12.75" customHeight="1">
      <c r="A16" s="710" t="s">
        <v>172</v>
      </c>
      <c r="B16" s="711"/>
      <c r="C16" s="709" t="s">
        <v>200</v>
      </c>
      <c r="D16" s="709"/>
      <c r="E16" s="144" t="s">
        <v>16</v>
      </c>
      <c r="I16" s="3"/>
      <c r="J16" s="3"/>
      <c r="K16" s="3"/>
      <c r="L16" s="3"/>
    </row>
    <row r="17" spans="1:23">
      <c r="A17" s="681">
        <v>600</v>
      </c>
      <c r="B17" s="682"/>
      <c r="C17" s="681">
        <v>400</v>
      </c>
      <c r="D17" s="682"/>
      <c r="E17" s="144">
        <v>1000</v>
      </c>
      <c r="I17" s="3"/>
      <c r="J17" s="3"/>
      <c r="K17" s="3"/>
      <c r="L17" s="3"/>
    </row>
    <row r="18" spans="1:23">
      <c r="A18" s="161"/>
      <c r="B18" s="161"/>
      <c r="C18" s="161"/>
      <c r="D18" s="161"/>
      <c r="E18" s="161"/>
      <c r="F18" s="161"/>
      <c r="G18" s="161"/>
      <c r="H18" s="3"/>
      <c r="I18" s="3"/>
      <c r="J18" s="3"/>
      <c r="K18" s="3"/>
      <c r="L18" s="3"/>
    </row>
    <row r="20" spans="1:23" ht="19.149999999999999" customHeight="1">
      <c r="A20" s="705" t="s">
        <v>165</v>
      </c>
      <c r="B20" s="705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</row>
    <row r="21" spans="1:23">
      <c r="A21" s="668" t="s">
        <v>20</v>
      </c>
      <c r="B21" s="668" t="s">
        <v>46</v>
      </c>
      <c r="C21" s="668"/>
      <c r="D21" s="668"/>
      <c r="E21" s="694" t="s">
        <v>21</v>
      </c>
      <c r="F21" s="694"/>
      <c r="G21" s="694"/>
      <c r="H21" s="694"/>
      <c r="I21" s="694"/>
      <c r="J21" s="694"/>
      <c r="K21" s="694"/>
      <c r="L21" s="694"/>
      <c r="M21" s="695" t="s">
        <v>22</v>
      </c>
      <c r="N21" s="695"/>
      <c r="O21" s="695"/>
      <c r="P21" s="695"/>
      <c r="Q21" s="695"/>
      <c r="R21" s="695"/>
      <c r="S21" s="695"/>
      <c r="T21" s="695"/>
    </row>
    <row r="22" spans="1:23" ht="33.75" customHeight="1">
      <c r="A22" s="668"/>
      <c r="B22" s="668"/>
      <c r="C22" s="668"/>
      <c r="D22" s="668"/>
      <c r="E22" s="677" t="s">
        <v>129</v>
      </c>
      <c r="F22" s="679"/>
      <c r="G22" s="677" t="s">
        <v>166</v>
      </c>
      <c r="H22" s="679"/>
      <c r="I22" s="668" t="s">
        <v>47</v>
      </c>
      <c r="J22" s="668"/>
      <c r="K22" s="677" t="s">
        <v>89</v>
      </c>
      <c r="L22" s="679"/>
      <c r="M22" s="677" t="s">
        <v>90</v>
      </c>
      <c r="N22" s="679"/>
      <c r="O22" s="677" t="s">
        <v>166</v>
      </c>
      <c r="P22" s="679"/>
      <c r="Q22" s="668" t="s">
        <v>47</v>
      </c>
      <c r="R22" s="668"/>
      <c r="S22" s="668" t="s">
        <v>89</v>
      </c>
      <c r="T22" s="668"/>
    </row>
    <row r="23" spans="1:23" s="33" customFormat="1" ht="15.75" customHeight="1">
      <c r="A23" s="149">
        <v>1</v>
      </c>
      <c r="B23" s="686">
        <v>2</v>
      </c>
      <c r="C23" s="687"/>
      <c r="D23" s="688"/>
      <c r="E23" s="686">
        <v>3</v>
      </c>
      <c r="F23" s="688"/>
      <c r="G23" s="686">
        <v>4</v>
      </c>
      <c r="H23" s="688"/>
      <c r="I23" s="685">
        <v>5</v>
      </c>
      <c r="J23" s="685"/>
      <c r="K23" s="685">
        <v>6</v>
      </c>
      <c r="L23" s="685"/>
      <c r="M23" s="686">
        <v>3</v>
      </c>
      <c r="N23" s="688"/>
      <c r="O23" s="686">
        <v>4</v>
      </c>
      <c r="P23" s="688"/>
      <c r="Q23" s="685">
        <v>5</v>
      </c>
      <c r="R23" s="685"/>
      <c r="S23" s="685">
        <v>6</v>
      </c>
      <c r="T23" s="685"/>
    </row>
    <row r="24" spans="1:23" ht="27.75" customHeight="1">
      <c r="A24" s="160">
        <v>1</v>
      </c>
      <c r="B24" s="689" t="s">
        <v>480</v>
      </c>
      <c r="C24" s="690"/>
      <c r="D24" s="691"/>
      <c r="E24" s="692">
        <v>100</v>
      </c>
      <c r="F24" s="693"/>
      <c r="G24" s="696" t="s">
        <v>346</v>
      </c>
      <c r="H24" s="697"/>
      <c r="I24" s="692">
        <v>346</v>
      </c>
      <c r="J24" s="693"/>
      <c r="K24" s="692">
        <v>6</v>
      </c>
      <c r="L24" s="693"/>
      <c r="M24" s="692">
        <v>150</v>
      </c>
      <c r="N24" s="693"/>
      <c r="O24" s="696" t="s">
        <v>346</v>
      </c>
      <c r="P24" s="697"/>
      <c r="Q24" s="692">
        <v>519</v>
      </c>
      <c r="R24" s="693"/>
      <c r="S24" s="692">
        <v>12</v>
      </c>
      <c r="T24" s="693"/>
    </row>
    <row r="25" spans="1:23">
      <c r="A25" s="160">
        <v>2</v>
      </c>
      <c r="B25" s="665" t="s">
        <v>48</v>
      </c>
      <c r="C25" s="666"/>
      <c r="D25" s="667"/>
      <c r="E25" s="673">
        <v>20</v>
      </c>
      <c r="F25" s="674"/>
      <c r="G25" s="675">
        <f>1.45+0.05</f>
        <v>1.5</v>
      </c>
      <c r="H25" s="676"/>
      <c r="I25" s="673">
        <v>67</v>
      </c>
      <c r="J25" s="674"/>
      <c r="K25" s="673">
        <v>4</v>
      </c>
      <c r="L25" s="674"/>
      <c r="M25" s="673">
        <v>30</v>
      </c>
      <c r="N25" s="674"/>
      <c r="O25" s="675">
        <f>1.5+0.75</f>
        <v>2.25</v>
      </c>
      <c r="P25" s="676"/>
      <c r="Q25" s="673">
        <v>100</v>
      </c>
      <c r="R25" s="674"/>
      <c r="S25" s="673">
        <v>4</v>
      </c>
      <c r="T25" s="674"/>
      <c r="V25" s="346"/>
      <c r="W25" s="346"/>
    </row>
    <row r="26" spans="1:23">
      <c r="A26" s="160">
        <v>3</v>
      </c>
      <c r="B26" s="665" t="s">
        <v>167</v>
      </c>
      <c r="C26" s="666"/>
      <c r="D26" s="667"/>
      <c r="E26" s="673">
        <v>50</v>
      </c>
      <c r="F26" s="674"/>
      <c r="G26" s="675">
        <f>0.97+0.03</f>
        <v>1</v>
      </c>
      <c r="H26" s="676"/>
      <c r="I26" s="706">
        <v>13</v>
      </c>
      <c r="J26" s="707"/>
      <c r="K26" s="706">
        <v>0</v>
      </c>
      <c r="L26" s="707"/>
      <c r="M26" s="706">
        <v>75</v>
      </c>
      <c r="N26" s="707"/>
      <c r="O26" s="712">
        <v>1.5</v>
      </c>
      <c r="P26" s="713"/>
      <c r="Q26" s="706">
        <v>20</v>
      </c>
      <c r="R26" s="707"/>
      <c r="S26" s="706">
        <v>0</v>
      </c>
      <c r="T26" s="707"/>
      <c r="V26" s="346"/>
      <c r="W26" s="346"/>
    </row>
    <row r="27" spans="1:23">
      <c r="A27" s="160">
        <v>4</v>
      </c>
      <c r="B27" s="665" t="s">
        <v>49</v>
      </c>
      <c r="C27" s="666"/>
      <c r="D27" s="667"/>
      <c r="E27" s="673">
        <v>5</v>
      </c>
      <c r="F27" s="674"/>
      <c r="G27" s="675">
        <f>0.61+0.02</f>
        <v>0.63</v>
      </c>
      <c r="H27" s="676"/>
      <c r="I27" s="706">
        <v>45</v>
      </c>
      <c r="J27" s="707"/>
      <c r="K27" s="706">
        <v>2</v>
      </c>
      <c r="L27" s="707"/>
      <c r="M27" s="706">
        <v>7.5</v>
      </c>
      <c r="N27" s="707"/>
      <c r="O27" s="712">
        <f>0.92+0.03</f>
        <v>0.95000000000000007</v>
      </c>
      <c r="P27" s="713"/>
      <c r="Q27" s="706">
        <v>67</v>
      </c>
      <c r="R27" s="707"/>
      <c r="S27" s="706">
        <v>4</v>
      </c>
      <c r="T27" s="707"/>
      <c r="V27" s="346"/>
      <c r="W27" s="346"/>
    </row>
    <row r="28" spans="1:23">
      <c r="A28" s="160">
        <v>5</v>
      </c>
      <c r="B28" s="665" t="s">
        <v>50</v>
      </c>
      <c r="C28" s="666"/>
      <c r="D28" s="667"/>
      <c r="E28" s="673" t="s">
        <v>630</v>
      </c>
      <c r="F28" s="674"/>
      <c r="G28" s="675">
        <v>0.6</v>
      </c>
      <c r="H28" s="676"/>
      <c r="I28" s="673">
        <v>0</v>
      </c>
      <c r="J28" s="674"/>
      <c r="K28" s="673">
        <v>0</v>
      </c>
      <c r="L28" s="674"/>
      <c r="M28" s="673" t="s">
        <v>630</v>
      </c>
      <c r="N28" s="674"/>
      <c r="O28" s="675">
        <v>0.97</v>
      </c>
      <c r="P28" s="676"/>
      <c r="Q28" s="673">
        <v>0</v>
      </c>
      <c r="R28" s="674"/>
      <c r="S28" s="673">
        <v>0</v>
      </c>
      <c r="T28" s="674"/>
      <c r="V28" s="346"/>
      <c r="W28" s="346"/>
    </row>
    <row r="29" spans="1:23">
      <c r="A29" s="160">
        <v>6</v>
      </c>
      <c r="B29" s="665" t="s">
        <v>51</v>
      </c>
      <c r="C29" s="666"/>
      <c r="D29" s="667"/>
      <c r="E29" s="673" t="s">
        <v>630</v>
      </c>
      <c r="F29" s="674"/>
      <c r="G29" s="675">
        <f>0.72+0.03</f>
        <v>0.75</v>
      </c>
      <c r="H29" s="676"/>
      <c r="I29" s="673">
        <v>0</v>
      </c>
      <c r="J29" s="674"/>
      <c r="K29" s="673">
        <v>0</v>
      </c>
      <c r="L29" s="674"/>
      <c r="M29" s="673" t="s">
        <v>630</v>
      </c>
      <c r="N29" s="674"/>
      <c r="O29" s="675">
        <v>1.04</v>
      </c>
      <c r="P29" s="676"/>
      <c r="Q29" s="673">
        <v>0</v>
      </c>
      <c r="R29" s="674"/>
      <c r="S29" s="673">
        <v>0</v>
      </c>
      <c r="T29" s="674"/>
      <c r="V29" s="346"/>
      <c r="W29" s="346"/>
    </row>
    <row r="30" spans="1:23">
      <c r="A30" s="160">
        <v>7</v>
      </c>
      <c r="B30" s="683" t="s">
        <v>168</v>
      </c>
      <c r="C30" s="683"/>
      <c r="D30" s="683"/>
      <c r="E30" s="669">
        <v>0</v>
      </c>
      <c r="F30" s="670"/>
      <c r="G30" s="675">
        <v>2</v>
      </c>
      <c r="H30" s="676"/>
      <c r="I30" s="669">
        <v>160</v>
      </c>
      <c r="J30" s="670"/>
      <c r="K30" s="669">
        <v>12</v>
      </c>
      <c r="L30" s="670"/>
      <c r="M30" s="669">
        <v>0</v>
      </c>
      <c r="N30" s="670"/>
      <c r="O30" s="675">
        <v>2</v>
      </c>
      <c r="P30" s="676"/>
      <c r="Q30" s="669">
        <v>160</v>
      </c>
      <c r="R30" s="670"/>
      <c r="S30" s="669">
        <v>12</v>
      </c>
      <c r="T30" s="670"/>
    </row>
    <row r="31" spans="1:23">
      <c r="A31" s="160"/>
      <c r="B31" s="668" t="s">
        <v>16</v>
      </c>
      <c r="C31" s="668"/>
      <c r="D31" s="668"/>
      <c r="E31" s="669">
        <f>SUM(E24:F30)</f>
        <v>175</v>
      </c>
      <c r="F31" s="670"/>
      <c r="G31" s="671">
        <f>SUM(G25:G30)</f>
        <v>6.48</v>
      </c>
      <c r="H31" s="672"/>
      <c r="I31" s="671">
        <f>SUM(I24:J30)</f>
        <v>631</v>
      </c>
      <c r="J31" s="672"/>
      <c r="K31" s="671">
        <f>SUM(K24:L30)</f>
        <v>24</v>
      </c>
      <c r="L31" s="672"/>
      <c r="M31" s="671">
        <f>SUM(M24:N30)</f>
        <v>262.5</v>
      </c>
      <c r="N31" s="672"/>
      <c r="O31" s="714">
        <f>SUM(O25:O30)</f>
        <v>8.7100000000000009</v>
      </c>
      <c r="P31" s="715"/>
      <c r="Q31" s="669">
        <f>SUM(Q24:R30)</f>
        <v>866</v>
      </c>
      <c r="R31" s="670"/>
      <c r="S31" s="669">
        <f>SUM(S24:T30)</f>
        <v>32</v>
      </c>
      <c r="T31" s="670"/>
    </row>
    <row r="32" spans="1:23">
      <c r="A32" s="57"/>
      <c r="B32" s="58"/>
      <c r="C32" s="58"/>
      <c r="D32" s="5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123" t="s">
        <v>397</v>
      </c>
      <c r="B33" s="684" t="s">
        <v>456</v>
      </c>
      <c r="C33" s="684"/>
      <c r="D33" s="684"/>
      <c r="E33" s="684"/>
      <c r="F33" s="684"/>
      <c r="G33" s="684"/>
      <c r="H33" s="68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123"/>
      <c r="B34" s="58"/>
      <c r="C34" s="58"/>
      <c r="D34" s="5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18" customFormat="1" ht="17.25" customHeight="1">
      <c r="A35" s="730" t="s">
        <v>20</v>
      </c>
      <c r="B35" s="717" t="s">
        <v>398</v>
      </c>
      <c r="C35" s="718"/>
      <c r="D35" s="719"/>
      <c r="E35" s="677" t="s">
        <v>21</v>
      </c>
      <c r="F35" s="678"/>
      <c r="G35" s="678"/>
      <c r="H35" s="678"/>
      <c r="I35" s="678"/>
      <c r="J35" s="679"/>
      <c r="K35" s="695" t="s">
        <v>22</v>
      </c>
      <c r="L35" s="695"/>
      <c r="M35" s="695"/>
      <c r="N35" s="695"/>
      <c r="O35" s="695"/>
      <c r="P35" s="695"/>
      <c r="Q35" s="727"/>
      <c r="R35" s="727"/>
      <c r="S35" s="727"/>
      <c r="T35" s="727"/>
    </row>
    <row r="36" spans="1:20">
      <c r="A36" s="731"/>
      <c r="B36" s="720"/>
      <c r="C36" s="721"/>
      <c r="D36" s="722"/>
      <c r="E36" s="681" t="s">
        <v>415</v>
      </c>
      <c r="F36" s="682"/>
      <c r="G36" s="681" t="s">
        <v>416</v>
      </c>
      <c r="H36" s="682"/>
      <c r="I36" s="681" t="s">
        <v>417</v>
      </c>
      <c r="J36" s="682"/>
      <c r="K36" s="695" t="s">
        <v>415</v>
      </c>
      <c r="L36" s="695"/>
      <c r="M36" s="695" t="s">
        <v>416</v>
      </c>
      <c r="N36" s="695"/>
      <c r="O36" s="695" t="s">
        <v>417</v>
      </c>
      <c r="P36" s="695"/>
      <c r="Q36" s="3"/>
      <c r="R36" s="3"/>
      <c r="S36" s="3"/>
      <c r="T36" s="3"/>
    </row>
    <row r="37" spans="1:20">
      <c r="A37" s="160">
        <v>1</v>
      </c>
      <c r="B37" s="669" t="s">
        <v>633</v>
      </c>
      <c r="C37" s="680"/>
      <c r="D37" s="670"/>
      <c r="E37" s="669" t="s">
        <v>631</v>
      </c>
      <c r="F37" s="670"/>
      <c r="G37" s="669">
        <v>4</v>
      </c>
      <c r="H37" s="670"/>
      <c r="I37" s="669" t="s">
        <v>632</v>
      </c>
      <c r="J37" s="670"/>
      <c r="K37" s="669" t="s">
        <v>631</v>
      </c>
      <c r="L37" s="670"/>
      <c r="M37" s="669">
        <v>4</v>
      </c>
      <c r="N37" s="670"/>
      <c r="O37" s="669" t="s">
        <v>632</v>
      </c>
      <c r="P37" s="670"/>
      <c r="Q37" s="3"/>
      <c r="R37" s="3"/>
      <c r="S37" s="3"/>
      <c r="T37" s="3"/>
    </row>
    <row r="40" spans="1:20" ht="13.9" customHeight="1">
      <c r="A40" s="726" t="s">
        <v>178</v>
      </c>
      <c r="B40" s="726"/>
      <c r="C40" s="726"/>
      <c r="D40" s="726"/>
      <c r="E40" s="726"/>
      <c r="F40" s="726"/>
      <c r="G40" s="726"/>
      <c r="H40" s="726"/>
      <c r="I40" s="726"/>
    </row>
    <row r="41" spans="1:20" ht="13.9" customHeight="1">
      <c r="A41" s="728" t="s">
        <v>54</v>
      </c>
      <c r="B41" s="728" t="s">
        <v>21</v>
      </c>
      <c r="C41" s="728"/>
      <c r="D41" s="728"/>
      <c r="E41" s="723" t="s">
        <v>22</v>
      </c>
      <c r="F41" s="723"/>
      <c r="G41" s="723"/>
      <c r="H41" s="724" t="s">
        <v>142</v>
      </c>
      <c r="I41" s="173"/>
    </row>
    <row r="42" spans="1:20" ht="15">
      <c r="A42" s="728"/>
      <c r="B42" s="147" t="s">
        <v>169</v>
      </c>
      <c r="C42" s="154" t="s">
        <v>96</v>
      </c>
      <c r="D42" s="147" t="s">
        <v>16</v>
      </c>
      <c r="E42" s="147" t="s">
        <v>169</v>
      </c>
      <c r="F42" s="154" t="s">
        <v>96</v>
      </c>
      <c r="G42" s="147" t="s">
        <v>16</v>
      </c>
      <c r="H42" s="725"/>
      <c r="I42" s="173"/>
    </row>
    <row r="43" spans="1:20" ht="14.25">
      <c r="A43" s="494" t="s">
        <v>681</v>
      </c>
      <c r="B43" s="247">
        <v>2.69</v>
      </c>
      <c r="C43" s="247">
        <f>1.79+2</f>
        <v>3.79</v>
      </c>
      <c r="D43" s="247">
        <f>SUM(B43:C43)</f>
        <v>6.48</v>
      </c>
      <c r="E43" s="247">
        <v>4.03</v>
      </c>
      <c r="F43" s="247">
        <f>2.68+2</f>
        <v>4.68</v>
      </c>
      <c r="G43" s="247">
        <f>SUM(E43:F43)</f>
        <v>8.7100000000000009</v>
      </c>
      <c r="H43" s="248"/>
      <c r="I43" s="173"/>
    </row>
    <row r="44" spans="1:20" ht="14.25">
      <c r="A44" s="494" t="s">
        <v>738</v>
      </c>
      <c r="B44" s="247">
        <v>2.98</v>
      </c>
      <c r="C44" s="247">
        <f>1.99+2</f>
        <v>3.99</v>
      </c>
      <c r="D44" s="247">
        <f>SUM(B44:C44)</f>
        <v>6.9700000000000006</v>
      </c>
      <c r="E44" s="247">
        <v>4.47</v>
      </c>
      <c r="F44" s="247">
        <f>2.98+2</f>
        <v>4.9800000000000004</v>
      </c>
      <c r="G44" s="247">
        <f>SUM(E44:F44)</f>
        <v>9.4499999999999993</v>
      </c>
      <c r="H44" s="248"/>
      <c r="I44" s="173"/>
    </row>
    <row r="45" spans="1:20" ht="15" customHeight="1">
      <c r="A45" s="729" t="s">
        <v>227</v>
      </c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</row>
    <row r="46" spans="1:20" ht="15">
      <c r="A46" s="18"/>
      <c r="B46" s="124"/>
      <c r="C46" s="124"/>
      <c r="D46" s="145"/>
      <c r="E46" s="145"/>
      <c r="F46" s="148"/>
      <c r="G46" s="148"/>
      <c r="H46" s="148"/>
      <c r="I46" s="173"/>
    </row>
    <row r="48" spans="1:20" s="286" customFormat="1" ht="12.75" customHeight="1">
      <c r="A48" s="285"/>
      <c r="B48" s="285"/>
      <c r="C48" s="285"/>
      <c r="D48" s="285"/>
    </row>
    <row r="49" spans="15:19">
      <c r="O49" s="716" t="s">
        <v>909</v>
      </c>
      <c r="P49" s="716"/>
      <c r="Q49" s="716"/>
      <c r="R49" s="716"/>
      <c r="S49" s="716"/>
    </row>
    <row r="50" spans="15:19">
      <c r="O50" s="716" t="s">
        <v>646</v>
      </c>
      <c r="P50" s="716"/>
      <c r="Q50" s="716"/>
      <c r="R50" s="716"/>
      <c r="S50" s="716"/>
    </row>
  </sheetData>
  <mergeCells count="158">
    <mergeCell ref="O50:S50"/>
    <mergeCell ref="M36:N36"/>
    <mergeCell ref="O36:P36"/>
    <mergeCell ref="K37:L37"/>
    <mergeCell ref="K36:L36"/>
    <mergeCell ref="E36:F36"/>
    <mergeCell ref="E37:F37"/>
    <mergeCell ref="B35:D36"/>
    <mergeCell ref="K35:P35"/>
    <mergeCell ref="M37:N37"/>
    <mergeCell ref="O37:P37"/>
    <mergeCell ref="E41:G41"/>
    <mergeCell ref="H41:H42"/>
    <mergeCell ref="A40:I40"/>
    <mergeCell ref="S35:T35"/>
    <mergeCell ref="Q35:R35"/>
    <mergeCell ref="A41:A42"/>
    <mergeCell ref="A45:T45"/>
    <mergeCell ref="B41:D41"/>
    <mergeCell ref="A35:A36"/>
    <mergeCell ref="O49:S49"/>
    <mergeCell ref="S31:T31"/>
    <mergeCell ref="M30:N30"/>
    <mergeCell ref="Q30:R30"/>
    <mergeCell ref="S30:T30"/>
    <mergeCell ref="O30:P30"/>
    <mergeCell ref="S27:T27"/>
    <mergeCell ref="O27:P27"/>
    <mergeCell ref="K30:L30"/>
    <mergeCell ref="M31:N31"/>
    <mergeCell ref="O31:P31"/>
    <mergeCell ref="Q31:R31"/>
    <mergeCell ref="K28:L28"/>
    <mergeCell ref="O28:P28"/>
    <mergeCell ref="M29:N29"/>
    <mergeCell ref="O29:P29"/>
    <mergeCell ref="K31:L31"/>
    <mergeCell ref="K29:L29"/>
    <mergeCell ref="Q29:R29"/>
    <mergeCell ref="Q27:R27"/>
    <mergeCell ref="S29:T29"/>
    <mergeCell ref="Q28:R28"/>
    <mergeCell ref="S28:T28"/>
    <mergeCell ref="M28:N28"/>
    <mergeCell ref="S24:T24"/>
    <mergeCell ref="O26:P26"/>
    <mergeCell ref="S26:T26"/>
    <mergeCell ref="Q23:R23"/>
    <mergeCell ref="O22:P22"/>
    <mergeCell ref="M26:N26"/>
    <mergeCell ref="M24:N24"/>
    <mergeCell ref="Q25:R25"/>
    <mergeCell ref="O23:P23"/>
    <mergeCell ref="A17:B17"/>
    <mergeCell ref="D12:E12"/>
    <mergeCell ref="F12:G12"/>
    <mergeCell ref="C17:D17"/>
    <mergeCell ref="I22:J22"/>
    <mergeCell ref="B13:C13"/>
    <mergeCell ref="M22:N22"/>
    <mergeCell ref="K22:L22"/>
    <mergeCell ref="O25:P25"/>
    <mergeCell ref="K25:L25"/>
    <mergeCell ref="K24:L24"/>
    <mergeCell ref="E25:F25"/>
    <mergeCell ref="G25:H25"/>
    <mergeCell ref="M23:N23"/>
    <mergeCell ref="M21:T21"/>
    <mergeCell ref="Q22:R22"/>
    <mergeCell ref="F13:G13"/>
    <mergeCell ref="B12:C12"/>
    <mergeCell ref="H13:I13"/>
    <mergeCell ref="I24:J24"/>
    <mergeCell ref="H12:I12"/>
    <mergeCell ref="A15:G15"/>
    <mergeCell ref="C16:D16"/>
    <mergeCell ref="A16:B16"/>
    <mergeCell ref="B26:D26"/>
    <mergeCell ref="B28:D28"/>
    <mergeCell ref="E28:F28"/>
    <mergeCell ref="G28:H28"/>
    <mergeCell ref="A20:S20"/>
    <mergeCell ref="I28:J28"/>
    <mergeCell ref="S23:T23"/>
    <mergeCell ref="M25:N25"/>
    <mergeCell ref="I26:J26"/>
    <mergeCell ref="K26:L26"/>
    <mergeCell ref="S25:T25"/>
    <mergeCell ref="Q24:R24"/>
    <mergeCell ref="I27:J27"/>
    <mergeCell ref="K27:L27"/>
    <mergeCell ref="O24:P24"/>
    <mergeCell ref="M27:N27"/>
    <mergeCell ref="Q26:R26"/>
    <mergeCell ref="E22:F22"/>
    <mergeCell ref="G23:H23"/>
    <mergeCell ref="I23:J23"/>
    <mergeCell ref="E26:F26"/>
    <mergeCell ref="G26:H26"/>
    <mergeCell ref="A21:A22"/>
    <mergeCell ref="S22:T22"/>
    <mergeCell ref="R1:S1"/>
    <mergeCell ref="B9:C9"/>
    <mergeCell ref="A7:I7"/>
    <mergeCell ref="D9:E9"/>
    <mergeCell ref="F9:G9"/>
    <mergeCell ref="H1:I1"/>
    <mergeCell ref="J9:K9"/>
    <mergeCell ref="H9:I9"/>
    <mergeCell ref="A2:T2"/>
    <mergeCell ref="A3:T3"/>
    <mergeCell ref="A5:T5"/>
    <mergeCell ref="D10:E10"/>
    <mergeCell ref="F10:G10"/>
    <mergeCell ref="H10:I10"/>
    <mergeCell ref="B10:C10"/>
    <mergeCell ref="B23:D23"/>
    <mergeCell ref="B24:D24"/>
    <mergeCell ref="B25:D25"/>
    <mergeCell ref="J10:K10"/>
    <mergeCell ref="I25:J25"/>
    <mergeCell ref="B11:C11"/>
    <mergeCell ref="E24:F24"/>
    <mergeCell ref="D11:E11"/>
    <mergeCell ref="E23:F23"/>
    <mergeCell ref="K23:L23"/>
    <mergeCell ref="B21:D22"/>
    <mergeCell ref="E21:L21"/>
    <mergeCell ref="J13:K13"/>
    <mergeCell ref="J11:K11"/>
    <mergeCell ref="F11:G11"/>
    <mergeCell ref="H11:I11"/>
    <mergeCell ref="G22:H22"/>
    <mergeCell ref="G24:H24"/>
    <mergeCell ref="J12:K12"/>
    <mergeCell ref="D13:E13"/>
    <mergeCell ref="B29:D29"/>
    <mergeCell ref="B31:D31"/>
    <mergeCell ref="E31:F31"/>
    <mergeCell ref="G31:H31"/>
    <mergeCell ref="B27:D27"/>
    <mergeCell ref="E27:F27"/>
    <mergeCell ref="G27:H27"/>
    <mergeCell ref="E35:J35"/>
    <mergeCell ref="B37:D37"/>
    <mergeCell ref="G36:H36"/>
    <mergeCell ref="G37:H37"/>
    <mergeCell ref="E29:F29"/>
    <mergeCell ref="G29:H29"/>
    <mergeCell ref="B30:D30"/>
    <mergeCell ref="B33:H33"/>
    <mergeCell ref="I29:J29"/>
    <mergeCell ref="E30:F30"/>
    <mergeCell ref="G30:H30"/>
    <mergeCell ref="I31:J31"/>
    <mergeCell ref="I36:J36"/>
    <mergeCell ref="I37:J37"/>
    <mergeCell ref="I30:J30"/>
  </mergeCells>
  <phoneticPr fontId="0" type="noConversion"/>
  <printOptions horizontalCentered="1"/>
  <pageMargins left="0.35" right="0.35" top="0.45" bottom="0" header="0.31496062992125984" footer="0.31496062992125984"/>
  <pageSetup paperSize="9" scale="7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80" zoomScaleNormal="70" zoomScaleSheetLayoutView="80" workbookViewId="0"/>
  </sheetViews>
  <sheetFormatPr defaultRowHeight="12.75"/>
  <cols>
    <col min="1" max="1" width="8.28515625" style="173" customWidth="1"/>
    <col min="2" max="2" width="21.85546875" style="173" customWidth="1"/>
    <col min="3" max="3" width="14.28515625" style="173" customWidth="1"/>
    <col min="4" max="5" width="13.5703125" style="173" customWidth="1"/>
    <col min="6" max="7" width="12.85546875" style="173" customWidth="1"/>
    <col min="8" max="8" width="15.28515625" style="173" customWidth="1"/>
    <col min="9" max="9" width="49.5703125" style="173" customWidth="1"/>
    <col min="10" max="10" width="13.28515625" style="173" customWidth="1"/>
    <col min="11" max="16384" width="9.140625" style="173"/>
  </cols>
  <sheetData>
    <row r="1" spans="1:14" ht="15">
      <c r="I1" s="890" t="s">
        <v>578</v>
      </c>
      <c r="J1" s="890"/>
    </row>
    <row r="2" spans="1:14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49"/>
    </row>
    <row r="3" spans="1:14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26"/>
    </row>
    <row r="4" spans="1:14" ht="20.25">
      <c r="C4" s="157"/>
      <c r="D4" s="157"/>
      <c r="E4" s="157"/>
      <c r="F4" s="157"/>
      <c r="G4" s="157"/>
      <c r="H4" s="157"/>
      <c r="I4" s="157"/>
      <c r="J4" s="26"/>
      <c r="K4" s="26"/>
    </row>
    <row r="5" spans="1:14" ht="20.25" customHeight="1">
      <c r="A5" s="898" t="s">
        <v>806</v>
      </c>
      <c r="B5" s="898"/>
      <c r="C5" s="898"/>
      <c r="D5" s="898"/>
      <c r="E5" s="898"/>
      <c r="F5" s="898"/>
      <c r="G5" s="898"/>
      <c r="H5" s="898"/>
      <c r="I5" s="898"/>
      <c r="J5" s="898"/>
    </row>
    <row r="6" spans="1:14" ht="20.25" customHeight="1">
      <c r="A6" s="5" t="s">
        <v>663</v>
      </c>
      <c r="C6" s="207"/>
      <c r="D6" s="207"/>
      <c r="E6" s="207"/>
      <c r="F6" s="207"/>
      <c r="G6" s="207"/>
      <c r="H6" s="207"/>
      <c r="I6" s="891"/>
      <c r="J6" s="891"/>
    </row>
    <row r="7" spans="1:14" ht="15" customHeight="1">
      <c r="A7" s="879" t="s">
        <v>70</v>
      </c>
      <c r="B7" s="879" t="s">
        <v>33</v>
      </c>
      <c r="C7" s="880" t="s">
        <v>400</v>
      </c>
      <c r="D7" s="880" t="s">
        <v>380</v>
      </c>
      <c r="E7" s="892" t="s">
        <v>449</v>
      </c>
      <c r="F7" s="880" t="s">
        <v>379</v>
      </c>
      <c r="G7" s="880"/>
      <c r="H7" s="880"/>
      <c r="I7" s="895" t="s">
        <v>404</v>
      </c>
      <c r="J7" s="892" t="s">
        <v>405</v>
      </c>
    </row>
    <row r="8" spans="1:14" ht="12.75" customHeight="1">
      <c r="A8" s="879"/>
      <c r="B8" s="879"/>
      <c r="C8" s="880"/>
      <c r="D8" s="880"/>
      <c r="E8" s="893"/>
      <c r="F8" s="880" t="s">
        <v>401</v>
      </c>
      <c r="G8" s="892" t="s">
        <v>402</v>
      </c>
      <c r="H8" s="880" t="s">
        <v>403</v>
      </c>
      <c r="I8" s="896"/>
      <c r="J8" s="893"/>
    </row>
    <row r="9" spans="1:14" ht="20.25" customHeight="1">
      <c r="A9" s="879"/>
      <c r="B9" s="879"/>
      <c r="C9" s="880"/>
      <c r="D9" s="880"/>
      <c r="E9" s="893"/>
      <c r="F9" s="880"/>
      <c r="G9" s="893"/>
      <c r="H9" s="880"/>
      <c r="I9" s="896"/>
      <c r="J9" s="893"/>
    </row>
    <row r="10" spans="1:14" ht="63.75" customHeight="1">
      <c r="A10" s="879"/>
      <c r="B10" s="879"/>
      <c r="C10" s="880"/>
      <c r="D10" s="880"/>
      <c r="E10" s="894"/>
      <c r="F10" s="880"/>
      <c r="G10" s="894"/>
      <c r="H10" s="880"/>
      <c r="I10" s="897"/>
      <c r="J10" s="894"/>
    </row>
    <row r="11" spans="1:14" ht="14.25">
      <c r="A11" s="208">
        <v>1</v>
      </c>
      <c r="B11" s="208">
        <v>2</v>
      </c>
      <c r="C11" s="209">
        <v>3</v>
      </c>
      <c r="D11" s="208">
        <v>4</v>
      </c>
      <c r="E11" s="209">
        <v>5</v>
      </c>
      <c r="F11" s="208">
        <v>6</v>
      </c>
      <c r="G11" s="209">
        <v>7</v>
      </c>
      <c r="H11" s="208">
        <v>8</v>
      </c>
      <c r="I11" s="209">
        <v>9</v>
      </c>
      <c r="J11" s="208">
        <v>10</v>
      </c>
    </row>
    <row r="12" spans="1:14">
      <c r="A12" s="281">
        <v>1</v>
      </c>
      <c r="B12" s="204" t="s">
        <v>624</v>
      </c>
      <c r="C12" s="881" t="s">
        <v>861</v>
      </c>
      <c r="D12" s="882"/>
      <c r="E12" s="882"/>
      <c r="F12" s="882"/>
      <c r="G12" s="882"/>
      <c r="H12" s="882"/>
      <c r="I12" s="882"/>
      <c r="J12" s="883"/>
    </row>
    <row r="13" spans="1:14">
      <c r="A13" s="281">
        <v>2</v>
      </c>
      <c r="B13" s="204" t="s">
        <v>589</v>
      </c>
      <c r="C13" s="884"/>
      <c r="D13" s="885"/>
      <c r="E13" s="885"/>
      <c r="F13" s="885"/>
      <c r="G13" s="885"/>
      <c r="H13" s="885"/>
      <c r="I13" s="885"/>
      <c r="J13" s="886"/>
    </row>
    <row r="14" spans="1:14">
      <c r="A14" s="281">
        <v>3</v>
      </c>
      <c r="B14" s="204" t="s">
        <v>625</v>
      </c>
      <c r="C14" s="884"/>
      <c r="D14" s="885"/>
      <c r="E14" s="885"/>
      <c r="F14" s="885"/>
      <c r="G14" s="885"/>
      <c r="H14" s="885"/>
      <c r="I14" s="885"/>
      <c r="J14" s="886"/>
    </row>
    <row r="15" spans="1:14">
      <c r="A15" s="281">
        <v>4</v>
      </c>
      <c r="B15" s="204" t="s">
        <v>590</v>
      </c>
      <c r="C15" s="884"/>
      <c r="D15" s="885"/>
      <c r="E15" s="885"/>
      <c r="F15" s="885"/>
      <c r="G15" s="885"/>
      <c r="H15" s="885"/>
      <c r="I15" s="885"/>
      <c r="J15" s="886"/>
      <c r="N15" s="501"/>
    </row>
    <row r="16" spans="1:14">
      <c r="A16" s="281">
        <f>A15+1</f>
        <v>5</v>
      </c>
      <c r="B16" s="204" t="s">
        <v>591</v>
      </c>
      <c r="C16" s="884"/>
      <c r="D16" s="885"/>
      <c r="E16" s="885"/>
      <c r="F16" s="885"/>
      <c r="G16" s="885"/>
      <c r="H16" s="885"/>
      <c r="I16" s="885"/>
      <c r="J16" s="886"/>
      <c r="N16" s="501"/>
    </row>
    <row r="17" spans="1:14">
      <c r="A17" s="281">
        <f t="shared" ref="A17:A44" si="0">A16+1</f>
        <v>6</v>
      </c>
      <c r="B17" s="204" t="s">
        <v>592</v>
      </c>
      <c r="C17" s="884"/>
      <c r="D17" s="885"/>
      <c r="E17" s="885"/>
      <c r="F17" s="885"/>
      <c r="G17" s="885"/>
      <c r="H17" s="885"/>
      <c r="I17" s="885"/>
      <c r="J17" s="886"/>
      <c r="N17" s="501"/>
    </row>
    <row r="18" spans="1:14">
      <c r="A18" s="281">
        <f t="shared" si="0"/>
        <v>7</v>
      </c>
      <c r="B18" s="204" t="s">
        <v>593</v>
      </c>
      <c r="C18" s="884"/>
      <c r="D18" s="885"/>
      <c r="E18" s="885"/>
      <c r="F18" s="885"/>
      <c r="G18" s="885"/>
      <c r="H18" s="885"/>
      <c r="I18" s="885"/>
      <c r="J18" s="886"/>
      <c r="N18" s="501"/>
    </row>
    <row r="19" spans="1:14">
      <c r="A19" s="281">
        <f t="shared" si="0"/>
        <v>8</v>
      </c>
      <c r="B19" s="204" t="s">
        <v>594</v>
      </c>
      <c r="C19" s="884"/>
      <c r="D19" s="885"/>
      <c r="E19" s="885"/>
      <c r="F19" s="885"/>
      <c r="G19" s="885"/>
      <c r="H19" s="885"/>
      <c r="I19" s="885"/>
      <c r="J19" s="886"/>
      <c r="N19" s="501"/>
    </row>
    <row r="20" spans="1:14">
      <c r="A20" s="281">
        <f t="shared" si="0"/>
        <v>9</v>
      </c>
      <c r="B20" s="204" t="s">
        <v>595</v>
      </c>
      <c r="C20" s="884"/>
      <c r="D20" s="885"/>
      <c r="E20" s="885"/>
      <c r="F20" s="885"/>
      <c r="G20" s="885"/>
      <c r="H20" s="885"/>
      <c r="I20" s="885"/>
      <c r="J20" s="886"/>
      <c r="N20" s="501"/>
    </row>
    <row r="21" spans="1:14">
      <c r="A21" s="281">
        <f t="shared" si="0"/>
        <v>10</v>
      </c>
      <c r="B21" s="204" t="s">
        <v>596</v>
      </c>
      <c r="C21" s="884"/>
      <c r="D21" s="885"/>
      <c r="E21" s="885"/>
      <c r="F21" s="885"/>
      <c r="G21" s="885"/>
      <c r="H21" s="885"/>
      <c r="I21" s="885"/>
      <c r="J21" s="886"/>
      <c r="N21" s="501"/>
    </row>
    <row r="22" spans="1:14">
      <c r="A22" s="281">
        <f t="shared" si="0"/>
        <v>11</v>
      </c>
      <c r="B22" s="204" t="s">
        <v>626</v>
      </c>
      <c r="C22" s="884"/>
      <c r="D22" s="885"/>
      <c r="E22" s="885"/>
      <c r="F22" s="885"/>
      <c r="G22" s="885"/>
      <c r="H22" s="885"/>
      <c r="I22" s="885"/>
      <c r="J22" s="886"/>
    </row>
    <row r="23" spans="1:14">
      <c r="A23" s="281">
        <f t="shared" si="0"/>
        <v>12</v>
      </c>
      <c r="B23" s="204" t="s">
        <v>597</v>
      </c>
      <c r="C23" s="884"/>
      <c r="D23" s="885"/>
      <c r="E23" s="885"/>
      <c r="F23" s="885"/>
      <c r="G23" s="885"/>
      <c r="H23" s="885"/>
      <c r="I23" s="885"/>
      <c r="J23" s="886"/>
    </row>
    <row r="24" spans="1:14">
      <c r="A24" s="281">
        <f t="shared" si="0"/>
        <v>13</v>
      </c>
      <c r="B24" s="204" t="s">
        <v>598</v>
      </c>
      <c r="C24" s="884"/>
      <c r="D24" s="885"/>
      <c r="E24" s="885"/>
      <c r="F24" s="885"/>
      <c r="G24" s="885"/>
      <c r="H24" s="885"/>
      <c r="I24" s="885"/>
      <c r="J24" s="886"/>
    </row>
    <row r="25" spans="1:14">
      <c r="A25" s="281">
        <f t="shared" si="0"/>
        <v>14</v>
      </c>
      <c r="B25" s="204" t="s">
        <v>627</v>
      </c>
      <c r="C25" s="884"/>
      <c r="D25" s="885"/>
      <c r="E25" s="885"/>
      <c r="F25" s="885"/>
      <c r="G25" s="885"/>
      <c r="H25" s="885"/>
      <c r="I25" s="885"/>
      <c r="J25" s="886"/>
    </row>
    <row r="26" spans="1:14">
      <c r="A26" s="281">
        <f t="shared" si="0"/>
        <v>15</v>
      </c>
      <c r="B26" s="204" t="s">
        <v>599</v>
      </c>
      <c r="C26" s="884"/>
      <c r="D26" s="885"/>
      <c r="E26" s="885"/>
      <c r="F26" s="885"/>
      <c r="G26" s="885"/>
      <c r="H26" s="885"/>
      <c r="I26" s="885"/>
      <c r="J26" s="886"/>
    </row>
    <row r="27" spans="1:14" ht="15.75" customHeight="1">
      <c r="A27" s="281">
        <f t="shared" si="0"/>
        <v>16</v>
      </c>
      <c r="B27" s="204" t="s">
        <v>600</v>
      </c>
      <c r="C27" s="884"/>
      <c r="D27" s="885"/>
      <c r="E27" s="885"/>
      <c r="F27" s="885"/>
      <c r="G27" s="885"/>
      <c r="H27" s="885"/>
      <c r="I27" s="885"/>
      <c r="J27" s="886"/>
    </row>
    <row r="28" spans="1:14" ht="15.75" customHeight="1">
      <c r="A28" s="281">
        <f t="shared" si="0"/>
        <v>17</v>
      </c>
      <c r="B28" s="544" t="s">
        <v>684</v>
      </c>
      <c r="C28" s="884"/>
      <c r="D28" s="885"/>
      <c r="E28" s="885"/>
      <c r="F28" s="885"/>
      <c r="G28" s="885"/>
      <c r="H28" s="885"/>
      <c r="I28" s="885"/>
      <c r="J28" s="886"/>
    </row>
    <row r="29" spans="1:14">
      <c r="A29" s="281">
        <f t="shared" si="0"/>
        <v>18</v>
      </c>
      <c r="B29" s="204" t="s">
        <v>601</v>
      </c>
      <c r="C29" s="884"/>
      <c r="D29" s="885"/>
      <c r="E29" s="885"/>
      <c r="F29" s="885"/>
      <c r="G29" s="885"/>
      <c r="H29" s="885"/>
      <c r="I29" s="885"/>
      <c r="J29" s="886"/>
    </row>
    <row r="30" spans="1:14">
      <c r="A30" s="281">
        <f t="shared" si="0"/>
        <v>19</v>
      </c>
      <c r="B30" s="204" t="s">
        <v>602</v>
      </c>
      <c r="C30" s="884"/>
      <c r="D30" s="885"/>
      <c r="E30" s="885"/>
      <c r="F30" s="885"/>
      <c r="G30" s="885"/>
      <c r="H30" s="885"/>
      <c r="I30" s="885"/>
      <c r="J30" s="886"/>
    </row>
    <row r="31" spans="1:14">
      <c r="A31" s="281">
        <f t="shared" si="0"/>
        <v>20</v>
      </c>
      <c r="B31" s="544" t="s">
        <v>683</v>
      </c>
      <c r="C31" s="884"/>
      <c r="D31" s="885"/>
      <c r="E31" s="885"/>
      <c r="F31" s="885"/>
      <c r="G31" s="885"/>
      <c r="H31" s="885"/>
      <c r="I31" s="885"/>
      <c r="J31" s="886"/>
    </row>
    <row r="32" spans="1:14">
      <c r="A32" s="281">
        <f t="shared" si="0"/>
        <v>21</v>
      </c>
      <c r="B32" s="544" t="s">
        <v>628</v>
      </c>
      <c r="C32" s="884"/>
      <c r="D32" s="885"/>
      <c r="E32" s="885"/>
      <c r="F32" s="885"/>
      <c r="G32" s="885"/>
      <c r="H32" s="885"/>
      <c r="I32" s="885"/>
      <c r="J32" s="886"/>
    </row>
    <row r="33" spans="1:10">
      <c r="A33" s="281">
        <f t="shared" si="0"/>
        <v>22</v>
      </c>
      <c r="B33" s="204" t="s">
        <v>603</v>
      </c>
      <c r="C33" s="884"/>
      <c r="D33" s="885"/>
      <c r="E33" s="885"/>
      <c r="F33" s="885"/>
      <c r="G33" s="885"/>
      <c r="H33" s="885"/>
      <c r="I33" s="885"/>
      <c r="J33" s="886"/>
    </row>
    <row r="34" spans="1:10">
      <c r="A34" s="281">
        <f t="shared" si="0"/>
        <v>23</v>
      </c>
      <c r="B34" s="204" t="s">
        <v>604</v>
      </c>
      <c r="C34" s="884"/>
      <c r="D34" s="885"/>
      <c r="E34" s="885"/>
      <c r="F34" s="885"/>
      <c r="G34" s="885"/>
      <c r="H34" s="885"/>
      <c r="I34" s="885"/>
      <c r="J34" s="886"/>
    </row>
    <row r="35" spans="1:10">
      <c r="A35" s="281">
        <f t="shared" si="0"/>
        <v>24</v>
      </c>
      <c r="B35" s="204" t="s">
        <v>605</v>
      </c>
      <c r="C35" s="884"/>
      <c r="D35" s="885"/>
      <c r="E35" s="885"/>
      <c r="F35" s="885"/>
      <c r="G35" s="885"/>
      <c r="H35" s="885"/>
      <c r="I35" s="885"/>
      <c r="J35" s="886"/>
    </row>
    <row r="36" spans="1:10">
      <c r="A36" s="281">
        <f t="shared" si="0"/>
        <v>25</v>
      </c>
      <c r="B36" s="204" t="s">
        <v>606</v>
      </c>
      <c r="C36" s="884"/>
      <c r="D36" s="885"/>
      <c r="E36" s="885"/>
      <c r="F36" s="885"/>
      <c r="G36" s="885"/>
      <c r="H36" s="885"/>
      <c r="I36" s="885"/>
      <c r="J36" s="886"/>
    </row>
    <row r="37" spans="1:10">
      <c r="A37" s="281">
        <f t="shared" si="0"/>
        <v>26</v>
      </c>
      <c r="B37" s="204" t="s">
        <v>607</v>
      </c>
      <c r="C37" s="884"/>
      <c r="D37" s="885"/>
      <c r="E37" s="885"/>
      <c r="F37" s="885"/>
      <c r="G37" s="885"/>
      <c r="H37" s="885"/>
      <c r="I37" s="885"/>
      <c r="J37" s="886"/>
    </row>
    <row r="38" spans="1:10">
      <c r="A38" s="281">
        <f t="shared" si="0"/>
        <v>27</v>
      </c>
      <c r="B38" s="204" t="s">
        <v>608</v>
      </c>
      <c r="C38" s="884"/>
      <c r="D38" s="885"/>
      <c r="E38" s="885"/>
      <c r="F38" s="885"/>
      <c r="G38" s="885"/>
      <c r="H38" s="885"/>
      <c r="I38" s="885"/>
      <c r="J38" s="886"/>
    </row>
    <row r="39" spans="1:10">
      <c r="A39" s="281">
        <f t="shared" si="0"/>
        <v>28</v>
      </c>
      <c r="B39" s="204" t="s">
        <v>609</v>
      </c>
      <c r="C39" s="884"/>
      <c r="D39" s="885"/>
      <c r="E39" s="885"/>
      <c r="F39" s="885"/>
      <c r="G39" s="885"/>
      <c r="H39" s="885"/>
      <c r="I39" s="885"/>
      <c r="J39" s="886"/>
    </row>
    <row r="40" spans="1:10">
      <c r="A40" s="281">
        <f t="shared" si="0"/>
        <v>29</v>
      </c>
      <c r="B40" s="204" t="s">
        <v>610</v>
      </c>
      <c r="C40" s="884"/>
      <c r="D40" s="885"/>
      <c r="E40" s="885"/>
      <c r="F40" s="885"/>
      <c r="G40" s="885"/>
      <c r="H40" s="885"/>
      <c r="I40" s="885"/>
      <c r="J40" s="886"/>
    </row>
    <row r="41" spans="1:10">
      <c r="A41" s="281">
        <f t="shared" si="0"/>
        <v>30</v>
      </c>
      <c r="B41" s="545" t="s">
        <v>611</v>
      </c>
      <c r="C41" s="884"/>
      <c r="D41" s="885"/>
      <c r="E41" s="885"/>
      <c r="F41" s="885"/>
      <c r="G41" s="885"/>
      <c r="H41" s="885"/>
      <c r="I41" s="885"/>
      <c r="J41" s="886"/>
    </row>
    <row r="42" spans="1:10">
      <c r="A42" s="281">
        <f t="shared" si="0"/>
        <v>31</v>
      </c>
      <c r="B42" s="545" t="s">
        <v>612</v>
      </c>
      <c r="C42" s="884"/>
      <c r="D42" s="885"/>
      <c r="E42" s="885"/>
      <c r="F42" s="885"/>
      <c r="G42" s="885"/>
      <c r="H42" s="885"/>
      <c r="I42" s="885"/>
      <c r="J42" s="886"/>
    </row>
    <row r="43" spans="1:10">
      <c r="A43" s="281">
        <f t="shared" si="0"/>
        <v>32</v>
      </c>
      <c r="B43" s="545" t="s">
        <v>613</v>
      </c>
      <c r="C43" s="884"/>
      <c r="D43" s="885"/>
      <c r="E43" s="885"/>
      <c r="F43" s="885"/>
      <c r="G43" s="885"/>
      <c r="H43" s="885"/>
      <c r="I43" s="885"/>
      <c r="J43" s="886"/>
    </row>
    <row r="44" spans="1:10">
      <c r="A44" s="281">
        <f t="shared" si="0"/>
        <v>33</v>
      </c>
      <c r="B44" s="545" t="s">
        <v>614</v>
      </c>
      <c r="C44" s="884"/>
      <c r="D44" s="885"/>
      <c r="E44" s="885"/>
      <c r="F44" s="885"/>
      <c r="G44" s="885"/>
      <c r="H44" s="885"/>
      <c r="I44" s="885"/>
      <c r="J44" s="886"/>
    </row>
    <row r="45" spans="1:10" s="542" customFormat="1">
      <c r="A45" s="548"/>
      <c r="B45" s="553" t="s">
        <v>16</v>
      </c>
      <c r="C45" s="887"/>
      <c r="D45" s="888"/>
      <c r="E45" s="888"/>
      <c r="F45" s="888"/>
      <c r="G45" s="888"/>
      <c r="H45" s="888"/>
      <c r="I45" s="888"/>
      <c r="J45" s="889"/>
    </row>
    <row r="51" spans="9:10" ht="15.75">
      <c r="I51" s="702" t="s">
        <v>908</v>
      </c>
      <c r="J51" s="702"/>
    </row>
    <row r="52" spans="9:10" ht="15.75">
      <c r="I52" s="702" t="s">
        <v>712</v>
      </c>
      <c r="J52" s="702"/>
    </row>
  </sheetData>
  <mergeCells count="19">
    <mergeCell ref="I1:J1"/>
    <mergeCell ref="D7:D10"/>
    <mergeCell ref="I6:J6"/>
    <mergeCell ref="J7:J10"/>
    <mergeCell ref="F8:F10"/>
    <mergeCell ref="G8:G10"/>
    <mergeCell ref="H8:H10"/>
    <mergeCell ref="I7:I10"/>
    <mergeCell ref="E7:E10"/>
    <mergeCell ref="F7:H7"/>
    <mergeCell ref="A2:J2"/>
    <mergeCell ref="A3:J3"/>
    <mergeCell ref="A5:J5"/>
    <mergeCell ref="I51:J51"/>
    <mergeCell ref="I52:J52"/>
    <mergeCell ref="A7:A10"/>
    <mergeCell ref="B7:B10"/>
    <mergeCell ref="C7:C10"/>
    <mergeCell ref="C12:J45"/>
  </mergeCells>
  <printOptions horizontalCentered="1"/>
  <pageMargins left="0.27" right="0.28999999999999998" top="0.42" bottom="0" header="0.31496062992125984" footer="0.31496062992125984"/>
  <pageSetup paperSize="9" scale="7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8" zoomScaleNormal="70" zoomScaleSheetLayoutView="68" workbookViewId="0">
      <selection sqref="A1:I1"/>
    </sheetView>
  </sheetViews>
  <sheetFormatPr defaultRowHeight="12.75"/>
  <cols>
    <col min="1" max="1" width="9.28515625" style="173" bestFit="1" customWidth="1"/>
    <col min="2" max="2" width="21" style="173" customWidth="1"/>
    <col min="3" max="4" width="9.140625" style="173"/>
    <col min="5" max="5" width="9.85546875" style="173" bestFit="1" customWidth="1"/>
    <col min="6" max="6" width="11.5703125" style="173" customWidth="1"/>
    <col min="7" max="7" width="10.42578125" style="173" customWidth="1"/>
    <col min="8" max="8" width="20.28515625" style="173" customWidth="1"/>
    <col min="9" max="9" width="10.42578125" style="173" customWidth="1"/>
    <col min="10" max="10" width="22.85546875" style="173" customWidth="1"/>
    <col min="11" max="16384" width="9.140625" style="173"/>
  </cols>
  <sheetData>
    <row r="1" spans="1:10" ht="15.75">
      <c r="A1" s="702" t="s">
        <v>651</v>
      </c>
      <c r="B1" s="702"/>
      <c r="C1" s="702"/>
      <c r="D1" s="702"/>
      <c r="E1" s="702"/>
      <c r="F1" s="702"/>
      <c r="G1" s="702"/>
      <c r="H1" s="702"/>
      <c r="I1" s="702"/>
      <c r="J1" s="210" t="s">
        <v>544</v>
      </c>
    </row>
    <row r="2" spans="1:10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</row>
    <row r="4" spans="1:10" ht="15.75">
      <c r="A4" s="702" t="s">
        <v>543</v>
      </c>
      <c r="B4" s="702"/>
      <c r="C4" s="702"/>
      <c r="D4" s="702"/>
      <c r="E4" s="702"/>
      <c r="F4" s="702"/>
      <c r="G4" s="702"/>
      <c r="H4" s="702"/>
      <c r="I4" s="702"/>
      <c r="J4" s="702"/>
    </row>
    <row r="5" spans="1:10">
      <c r="A5" s="76" t="s">
        <v>664</v>
      </c>
      <c r="B5" s="76"/>
      <c r="C5" s="76"/>
      <c r="D5" s="76"/>
      <c r="E5" s="76"/>
      <c r="F5" s="76"/>
      <c r="G5" s="76"/>
      <c r="H5" s="76"/>
      <c r="I5" s="793" t="s">
        <v>774</v>
      </c>
      <c r="J5" s="793"/>
    </row>
    <row r="6" spans="1:10" ht="25.5" customHeight="1">
      <c r="A6" s="668" t="s">
        <v>2</v>
      </c>
      <c r="B6" s="668" t="s">
        <v>381</v>
      </c>
      <c r="C6" s="668" t="s">
        <v>382</v>
      </c>
      <c r="D6" s="668"/>
      <c r="E6" s="668"/>
      <c r="F6" s="677" t="s">
        <v>385</v>
      </c>
      <c r="G6" s="678"/>
      <c r="H6" s="678"/>
      <c r="I6" s="679"/>
      <c r="J6" s="795" t="s">
        <v>389</v>
      </c>
    </row>
    <row r="7" spans="1:10" ht="63" customHeight="1">
      <c r="A7" s="668"/>
      <c r="B7" s="668"/>
      <c r="C7" s="24" t="s">
        <v>96</v>
      </c>
      <c r="D7" s="24" t="s">
        <v>383</v>
      </c>
      <c r="E7" s="24" t="s">
        <v>384</v>
      </c>
      <c r="F7" s="150" t="s">
        <v>386</v>
      </c>
      <c r="G7" s="150" t="s">
        <v>387</v>
      </c>
      <c r="H7" s="150" t="s">
        <v>388</v>
      </c>
      <c r="I7" s="150" t="s">
        <v>43</v>
      </c>
      <c r="J7" s="796"/>
    </row>
    <row r="8" spans="1:10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265</v>
      </c>
      <c r="G8" s="149" t="s">
        <v>284</v>
      </c>
      <c r="H8" s="149" t="s">
        <v>285</v>
      </c>
      <c r="I8" s="149" t="s">
        <v>286</v>
      </c>
      <c r="J8" s="149" t="s">
        <v>314</v>
      </c>
    </row>
    <row r="9" spans="1:10" ht="63.75">
      <c r="A9" s="281">
        <v>1</v>
      </c>
      <c r="B9" s="48" t="s">
        <v>643</v>
      </c>
      <c r="C9" s="282" t="s">
        <v>7</v>
      </c>
      <c r="D9" s="282" t="s">
        <v>7</v>
      </c>
      <c r="E9" s="283">
        <v>25721</v>
      </c>
      <c r="F9" s="283">
        <v>25721</v>
      </c>
      <c r="G9" s="282" t="s">
        <v>7</v>
      </c>
      <c r="H9" s="282" t="s">
        <v>7</v>
      </c>
      <c r="I9" s="282" t="s">
        <v>7</v>
      </c>
      <c r="J9" s="282" t="s">
        <v>644</v>
      </c>
    </row>
    <row r="10" spans="1:10" s="256" customFormat="1">
      <c r="A10" s="243"/>
      <c r="B10" s="243"/>
      <c r="C10" s="284"/>
      <c r="D10" s="284"/>
      <c r="E10" s="284"/>
      <c r="F10" s="284"/>
      <c r="G10" s="284"/>
      <c r="H10" s="284"/>
      <c r="I10" s="284"/>
      <c r="J10" s="284"/>
    </row>
    <row r="11" spans="1:10" s="256" customFormat="1">
      <c r="A11" s="243"/>
      <c r="B11" s="243"/>
      <c r="C11" s="284"/>
      <c r="D11" s="284"/>
      <c r="E11" s="284"/>
      <c r="F11" s="284"/>
      <c r="G11" s="284"/>
      <c r="H11" s="284"/>
      <c r="I11" s="284"/>
      <c r="J11" s="284"/>
    </row>
    <row r="12" spans="1:10" s="256" customFormat="1">
      <c r="A12" s="243"/>
      <c r="B12" s="243"/>
      <c r="C12" s="284"/>
      <c r="D12" s="284"/>
      <c r="E12" s="284"/>
      <c r="F12" s="284"/>
      <c r="G12" s="284"/>
      <c r="H12" s="284"/>
      <c r="I12" s="284"/>
      <c r="J12" s="284"/>
    </row>
    <row r="13" spans="1:10">
      <c r="A13" s="106" t="s">
        <v>12</v>
      </c>
      <c r="C13" s="106"/>
      <c r="D13" s="106"/>
    </row>
    <row r="19" spans="7:10" ht="15.75">
      <c r="G19" s="761" t="s">
        <v>908</v>
      </c>
      <c r="H19" s="761"/>
      <c r="I19" s="761"/>
      <c r="J19" s="761"/>
    </row>
    <row r="20" spans="7:10" ht="15.75">
      <c r="G20" s="761" t="s">
        <v>646</v>
      </c>
      <c r="H20" s="761"/>
      <c r="I20" s="761"/>
      <c r="J20" s="761"/>
    </row>
  </sheetData>
  <mergeCells count="11">
    <mergeCell ref="G19:J19"/>
    <mergeCell ref="G20:J20"/>
    <mergeCell ref="A1:I1"/>
    <mergeCell ref="A4:J4"/>
    <mergeCell ref="J6:J7"/>
    <mergeCell ref="A2:J2"/>
    <mergeCell ref="A6:A7"/>
    <mergeCell ref="B6:B7"/>
    <mergeCell ref="C6:E6"/>
    <mergeCell ref="F6:I6"/>
    <mergeCell ref="I5:J5"/>
  </mergeCells>
  <printOptions horizontalCentered="1"/>
  <pageMargins left="0.70866141732283472" right="0.70866141732283472" top="0.5" bottom="0" header="0.31496062992125984" footer="0.31496062992125984"/>
  <pageSetup paperSize="9" scale="9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70" zoomScaleSheetLayoutView="80" workbookViewId="0"/>
  </sheetViews>
  <sheetFormatPr defaultColWidth="9.140625" defaultRowHeight="12.75"/>
  <cols>
    <col min="1" max="1" width="5.28515625" style="106" customWidth="1"/>
    <col min="2" max="2" width="8.5703125" style="106" customWidth="1"/>
    <col min="3" max="3" width="32.140625" style="106" customWidth="1"/>
    <col min="4" max="4" width="15.140625" style="106" customWidth="1"/>
    <col min="5" max="6" width="11.7109375" style="106" customWidth="1"/>
    <col min="7" max="7" width="13.7109375" style="106" customWidth="1"/>
    <col min="8" max="8" width="20.140625" style="106" customWidth="1"/>
    <col min="9" max="16384" width="9.140625" style="106"/>
  </cols>
  <sheetData>
    <row r="1" spans="1:8">
      <c r="A1" s="106" t="s">
        <v>11</v>
      </c>
      <c r="H1" s="106" t="s">
        <v>546</v>
      </c>
    </row>
    <row r="2" spans="1:8" s="108" customFormat="1" ht="15.75">
      <c r="A2" s="839" t="s">
        <v>0</v>
      </c>
      <c r="B2" s="839"/>
      <c r="C2" s="839"/>
      <c r="D2" s="839"/>
      <c r="E2" s="839"/>
      <c r="F2" s="839"/>
      <c r="G2" s="839"/>
      <c r="H2" s="839"/>
    </row>
    <row r="3" spans="1:8" s="108" customFormat="1" ht="20.25" customHeight="1">
      <c r="A3" s="838" t="s">
        <v>737</v>
      </c>
      <c r="B3" s="838"/>
      <c r="C3" s="838"/>
      <c r="D3" s="838"/>
      <c r="E3" s="838"/>
      <c r="F3" s="838"/>
      <c r="G3" s="838"/>
      <c r="H3" s="838"/>
    </row>
    <row r="5" spans="1:8" s="108" customFormat="1" ht="15.75">
      <c r="A5" s="837" t="s">
        <v>545</v>
      </c>
      <c r="B5" s="837"/>
      <c r="C5" s="837"/>
      <c r="D5" s="837"/>
      <c r="E5" s="837"/>
      <c r="F5" s="837"/>
      <c r="G5" s="837"/>
      <c r="H5" s="899"/>
    </row>
    <row r="7" spans="1:8">
      <c r="A7" s="109" t="s">
        <v>665</v>
      </c>
      <c r="B7" s="109"/>
      <c r="C7" s="355"/>
      <c r="D7" s="110"/>
      <c r="E7" s="110"/>
      <c r="F7" s="110"/>
      <c r="G7" s="110"/>
    </row>
    <row r="9" spans="1:8" ht="13.9" customHeight="1">
      <c r="A9" s="116"/>
      <c r="B9" s="116"/>
      <c r="C9" s="116"/>
      <c r="D9" s="116"/>
      <c r="E9" s="116"/>
      <c r="F9" s="116"/>
      <c r="G9" s="116"/>
    </row>
    <row r="10" spans="1:8" s="111" customFormat="1">
      <c r="A10" s="106"/>
      <c r="B10" s="106"/>
      <c r="C10" s="106"/>
      <c r="D10" s="106"/>
      <c r="E10" s="106"/>
      <c r="F10" s="106"/>
      <c r="G10" s="106"/>
      <c r="H10" s="175"/>
    </row>
    <row r="11" spans="1:8" s="111" customFormat="1" ht="39.75" customHeight="1">
      <c r="A11" s="112"/>
      <c r="B11" s="900" t="s">
        <v>278</v>
      </c>
      <c r="C11" s="900" t="s">
        <v>279</v>
      </c>
      <c r="D11" s="902" t="s">
        <v>280</v>
      </c>
      <c r="E11" s="903"/>
      <c r="F11" s="903"/>
      <c r="G11" s="904"/>
      <c r="H11" s="900" t="s">
        <v>74</v>
      </c>
    </row>
    <row r="12" spans="1:8" s="111" customFormat="1" ht="25.5">
      <c r="A12" s="113"/>
      <c r="B12" s="901"/>
      <c r="C12" s="901"/>
      <c r="D12" s="257" t="s">
        <v>281</v>
      </c>
      <c r="E12" s="257" t="s">
        <v>282</v>
      </c>
      <c r="F12" s="257" t="s">
        <v>283</v>
      </c>
      <c r="G12" s="257" t="s">
        <v>16</v>
      </c>
      <c r="H12" s="901"/>
    </row>
    <row r="13" spans="1:8" s="111" customFormat="1" ht="15">
      <c r="A13" s="113"/>
      <c r="B13" s="258" t="s">
        <v>258</v>
      </c>
      <c r="C13" s="258" t="s">
        <v>259</v>
      </c>
      <c r="D13" s="258" t="s">
        <v>260</v>
      </c>
      <c r="E13" s="258" t="s">
        <v>261</v>
      </c>
      <c r="F13" s="258" t="s">
        <v>262</v>
      </c>
      <c r="G13" s="258" t="s">
        <v>263</v>
      </c>
      <c r="H13" s="258" t="s">
        <v>264</v>
      </c>
    </row>
    <row r="14" spans="1:8" s="117" customFormat="1" ht="15" customHeight="1">
      <c r="B14" s="259" t="s">
        <v>25</v>
      </c>
      <c r="C14" s="905" t="s">
        <v>287</v>
      </c>
      <c r="D14" s="906"/>
      <c r="E14" s="906"/>
      <c r="F14" s="906"/>
      <c r="G14" s="906"/>
      <c r="H14" s="907"/>
    </row>
    <row r="15" spans="1:8" s="118" customFormat="1">
      <c r="B15" s="260"/>
      <c r="C15" s="260" t="s">
        <v>635</v>
      </c>
      <c r="D15" s="259">
        <v>1</v>
      </c>
      <c r="E15" s="259">
        <v>0</v>
      </c>
      <c r="F15" s="259">
        <v>0</v>
      </c>
      <c r="G15" s="259">
        <f>SUM(D15:F15)</f>
        <v>1</v>
      </c>
      <c r="H15" s="260"/>
    </row>
    <row r="16" spans="1:8" ht="14.25">
      <c r="A16" s="114"/>
      <c r="B16" s="261"/>
      <c r="C16" s="262" t="s">
        <v>636</v>
      </c>
      <c r="D16" s="263">
        <v>1</v>
      </c>
      <c r="E16" s="263">
        <v>0</v>
      </c>
      <c r="F16" s="263">
        <v>0</v>
      </c>
      <c r="G16" s="259">
        <f>SUM(D16:F16)</f>
        <v>1</v>
      </c>
      <c r="H16" s="261"/>
    </row>
    <row r="17" spans="1:8">
      <c r="B17" s="264"/>
      <c r="C17" s="262" t="s">
        <v>637</v>
      </c>
      <c r="D17" s="263">
        <v>1</v>
      </c>
      <c r="E17" s="265">
        <v>0</v>
      </c>
      <c r="F17" s="265">
        <v>0</v>
      </c>
      <c r="G17" s="259">
        <f>SUM(D17:F17)</f>
        <v>1</v>
      </c>
      <c r="H17" s="261"/>
    </row>
    <row r="18" spans="1:8" s="65" customFormat="1">
      <c r="B18" s="261"/>
      <c r="C18" s="262" t="s">
        <v>638</v>
      </c>
      <c r="D18" s="263">
        <v>0</v>
      </c>
      <c r="E18" s="263">
        <v>0</v>
      </c>
      <c r="F18" s="263">
        <v>0</v>
      </c>
      <c r="G18" s="259">
        <f>SUM(D18:F18)</f>
        <v>0</v>
      </c>
      <c r="H18" s="266"/>
    </row>
    <row r="19" spans="1:8" s="65" customFormat="1">
      <c r="B19" s="261"/>
      <c r="C19" s="262" t="s">
        <v>639</v>
      </c>
      <c r="D19" s="263">
        <v>1</v>
      </c>
      <c r="E19" s="263">
        <v>0</v>
      </c>
      <c r="F19" s="263">
        <v>0</v>
      </c>
      <c r="G19" s="259">
        <f>SUM(D19:F19)</f>
        <v>1</v>
      </c>
      <c r="H19" s="266"/>
    </row>
    <row r="20" spans="1:8" s="65" customFormat="1">
      <c r="B20" s="261"/>
      <c r="C20" s="262"/>
      <c r="D20" s="263"/>
      <c r="E20" s="263"/>
      <c r="F20" s="263"/>
      <c r="G20" s="263"/>
      <c r="H20" s="266"/>
    </row>
    <row r="21" spans="1:8" s="65" customFormat="1" ht="21.75" customHeight="1">
      <c r="B21" s="259" t="s">
        <v>29</v>
      </c>
      <c r="C21" s="905" t="s">
        <v>457</v>
      </c>
      <c r="D21" s="906"/>
      <c r="E21" s="906"/>
      <c r="F21" s="906"/>
      <c r="G21" s="906"/>
      <c r="H21" s="907"/>
    </row>
    <row r="22" spans="1:8" s="65" customFormat="1">
      <c r="A22" s="115" t="s">
        <v>277</v>
      </c>
      <c r="B22" s="261"/>
      <c r="C22" s="262" t="s">
        <v>640</v>
      </c>
      <c r="D22" s="259">
        <v>1</v>
      </c>
      <c r="E22" s="259">
        <v>0</v>
      </c>
      <c r="F22" s="259">
        <v>0</v>
      </c>
      <c r="G22" s="259">
        <f>SUM(D22:F22)</f>
        <v>1</v>
      </c>
      <c r="H22" s="261"/>
    </row>
    <row r="23" spans="1:8">
      <c r="B23" s="261"/>
      <c r="C23" s="262" t="s">
        <v>641</v>
      </c>
      <c r="D23" s="259">
        <v>1</v>
      </c>
      <c r="E23" s="259">
        <v>10</v>
      </c>
      <c r="F23" s="259">
        <v>0</v>
      </c>
      <c r="G23" s="259">
        <f>SUM(D23:F23)</f>
        <v>11</v>
      </c>
      <c r="H23" s="261"/>
    </row>
    <row r="24" spans="1:8">
      <c r="B24" s="261"/>
      <c r="C24" s="261"/>
      <c r="D24" s="259"/>
      <c r="E24" s="259"/>
      <c r="F24" s="259"/>
      <c r="G24" s="259"/>
      <c r="H24" s="261"/>
    </row>
    <row r="25" spans="1:8">
      <c r="B25" s="267"/>
      <c r="C25" s="267"/>
      <c r="D25" s="268"/>
      <c r="E25" s="268"/>
      <c r="F25" s="268"/>
      <c r="G25" s="268"/>
      <c r="H25" s="267"/>
    </row>
    <row r="26" spans="1:8">
      <c r="B26" s="267"/>
      <c r="C26" s="267"/>
      <c r="D26" s="268"/>
      <c r="E26" s="268"/>
      <c r="F26" s="268"/>
      <c r="G26" s="268"/>
      <c r="H26" s="267"/>
    </row>
    <row r="29" spans="1:8" ht="15.75">
      <c r="E29" s="761" t="s">
        <v>908</v>
      </c>
      <c r="F29" s="761"/>
      <c r="G29" s="761"/>
      <c r="H29" s="761"/>
    </row>
    <row r="30" spans="1:8" ht="15.75">
      <c r="E30" s="761" t="s">
        <v>646</v>
      </c>
      <c r="F30" s="761"/>
      <c r="G30" s="761"/>
      <c r="H30" s="761"/>
    </row>
  </sheetData>
  <mergeCells count="11">
    <mergeCell ref="E29:H29"/>
    <mergeCell ref="E30:H30"/>
    <mergeCell ref="H11:H12"/>
    <mergeCell ref="C14:H14"/>
    <mergeCell ref="C21:H21"/>
    <mergeCell ref="A2:H2"/>
    <mergeCell ref="A3:H3"/>
    <mergeCell ref="A5:H5"/>
    <mergeCell ref="B11:B12"/>
    <mergeCell ref="C11:C12"/>
    <mergeCell ref="D11:G11"/>
  </mergeCells>
  <printOptions horizontalCentered="1"/>
  <pageMargins left="0.70866141732283472" right="0.70866141732283472" top="0.44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>
      <selection sqref="A1:G1"/>
    </sheetView>
  </sheetViews>
  <sheetFormatPr defaultRowHeight="12.75"/>
  <cols>
    <col min="1" max="1" width="6" style="634" customWidth="1"/>
    <col min="2" max="2" width="18" style="634" customWidth="1"/>
    <col min="3" max="3" width="11.7109375" style="634" bestFit="1" customWidth="1"/>
    <col min="4" max="4" width="21" style="634" customWidth="1"/>
    <col min="5" max="5" width="21.140625" style="634" customWidth="1"/>
    <col min="6" max="6" width="20.7109375" style="634" customWidth="1"/>
    <col min="7" max="7" width="23.5703125" style="634" customWidth="1"/>
    <col min="8" max="8" width="17.42578125" style="634" customWidth="1"/>
    <col min="9" max="16384" width="9.140625" style="634"/>
  </cols>
  <sheetData>
    <row r="1" spans="1:10">
      <c r="A1" s="700" t="s">
        <v>0</v>
      </c>
      <c r="B1" s="700"/>
      <c r="C1" s="700"/>
      <c r="D1" s="700"/>
      <c r="E1" s="700"/>
      <c r="F1" s="700"/>
      <c r="G1" s="700"/>
      <c r="H1" s="212" t="s">
        <v>899</v>
      </c>
    </row>
    <row r="2" spans="1:10" ht="15.75">
      <c r="A2" s="702" t="s">
        <v>737</v>
      </c>
      <c r="B2" s="702"/>
      <c r="C2" s="702"/>
      <c r="D2" s="702"/>
      <c r="E2" s="702"/>
      <c r="F2" s="702"/>
      <c r="G2" s="702"/>
      <c r="H2" s="702"/>
    </row>
    <row r="3" spans="1:10" ht="6" customHeight="1"/>
    <row r="4" spans="1:10" ht="18" customHeight="1">
      <c r="A4" s="910" t="s">
        <v>900</v>
      </c>
      <c r="B4" s="910"/>
      <c r="C4" s="910"/>
      <c r="D4" s="910"/>
      <c r="E4" s="910"/>
      <c r="F4" s="910"/>
      <c r="G4" s="910"/>
      <c r="H4" s="910"/>
    </row>
    <row r="5" spans="1:10">
      <c r="A5" s="76" t="s">
        <v>901</v>
      </c>
      <c r="B5" s="76"/>
    </row>
    <row r="6" spans="1:10">
      <c r="A6" s="76"/>
      <c r="B6" s="76"/>
      <c r="F6" s="853" t="s">
        <v>774</v>
      </c>
      <c r="G6" s="853"/>
      <c r="H6" s="853"/>
    </row>
    <row r="7" spans="1:10" ht="51">
      <c r="A7" s="122" t="s">
        <v>2</v>
      </c>
      <c r="B7" s="633" t="s">
        <v>3</v>
      </c>
      <c r="C7" s="638" t="s">
        <v>902</v>
      </c>
      <c r="D7" s="638" t="s">
        <v>903</v>
      </c>
      <c r="E7" s="638" t="s">
        <v>904</v>
      </c>
      <c r="F7" s="638" t="s">
        <v>905</v>
      </c>
      <c r="G7" s="637" t="s">
        <v>906</v>
      </c>
      <c r="H7" s="635" t="s">
        <v>907</v>
      </c>
    </row>
    <row r="8" spans="1:10" s="212" customFormat="1">
      <c r="A8" s="630" t="s">
        <v>258</v>
      </c>
      <c r="B8" s="630" t="s">
        <v>259</v>
      </c>
      <c r="C8" s="630" t="s">
        <v>260</v>
      </c>
      <c r="D8" s="630" t="s">
        <v>261</v>
      </c>
      <c r="E8" s="630" t="s">
        <v>262</v>
      </c>
      <c r="F8" s="630" t="s">
        <v>263</v>
      </c>
      <c r="G8" s="631" t="s">
        <v>264</v>
      </c>
      <c r="H8" s="653">
        <v>8</v>
      </c>
    </row>
    <row r="9" spans="1:10" s="212" customFormat="1" ht="14.25" customHeight="1">
      <c r="A9" s="204">
        <v>1</v>
      </c>
      <c r="B9" s="204" t="s">
        <v>624</v>
      </c>
      <c r="C9" s="23">
        <v>1156</v>
      </c>
      <c r="D9" s="318">
        <v>508</v>
      </c>
      <c r="E9" s="652">
        <v>104</v>
      </c>
      <c r="F9" s="652">
        <f>D9-E9</f>
        <v>404</v>
      </c>
      <c r="G9" s="652">
        <v>508</v>
      </c>
      <c r="H9" s="48" t="s">
        <v>7</v>
      </c>
      <c r="J9" s="654"/>
    </row>
    <row r="10" spans="1:10" s="212" customFormat="1">
      <c r="A10" s="204">
        <f>A9+1</f>
        <v>2</v>
      </c>
      <c r="B10" s="204" t="s">
        <v>589</v>
      </c>
      <c r="C10" s="23">
        <v>1315</v>
      </c>
      <c r="D10" s="318">
        <v>855</v>
      </c>
      <c r="E10" s="652">
        <v>164</v>
      </c>
      <c r="F10" s="652">
        <f t="shared" ref="F10:F41" si="0">D10-E10</f>
        <v>691</v>
      </c>
      <c r="G10" s="652">
        <v>855</v>
      </c>
      <c r="H10" s="48" t="s">
        <v>7</v>
      </c>
      <c r="J10" s="654"/>
    </row>
    <row r="11" spans="1:10" s="212" customFormat="1">
      <c r="A11" s="204">
        <f t="shared" ref="A11:A41" si="1">A10+1</f>
        <v>3</v>
      </c>
      <c r="B11" s="204" t="s">
        <v>625</v>
      </c>
      <c r="C11" s="617">
        <v>866</v>
      </c>
      <c r="D11" s="318">
        <v>0</v>
      </c>
      <c r="E11" s="652">
        <v>0</v>
      </c>
      <c r="F11" s="652">
        <f t="shared" si="0"/>
        <v>0</v>
      </c>
      <c r="G11" s="652">
        <v>0</v>
      </c>
      <c r="H11" s="48" t="s">
        <v>7</v>
      </c>
      <c r="J11" s="654"/>
    </row>
    <row r="12" spans="1:10" s="212" customFormat="1">
      <c r="A12" s="204">
        <f t="shared" si="1"/>
        <v>4</v>
      </c>
      <c r="B12" s="204" t="s">
        <v>590</v>
      </c>
      <c r="C12" s="23">
        <v>772</v>
      </c>
      <c r="D12" s="318">
        <v>497</v>
      </c>
      <c r="E12" s="652">
        <v>92</v>
      </c>
      <c r="F12" s="652">
        <f t="shared" si="0"/>
        <v>405</v>
      </c>
      <c r="G12" s="652">
        <v>497</v>
      </c>
      <c r="H12" s="48" t="s">
        <v>7</v>
      </c>
      <c r="J12" s="654"/>
    </row>
    <row r="13" spans="1:10" s="212" customFormat="1">
      <c r="A13" s="204">
        <f t="shared" si="1"/>
        <v>5</v>
      </c>
      <c r="B13" s="204" t="s">
        <v>591</v>
      </c>
      <c r="C13" s="23">
        <v>511</v>
      </c>
      <c r="D13" s="318">
        <v>141</v>
      </c>
      <c r="E13" s="652">
        <v>38</v>
      </c>
      <c r="F13" s="652">
        <f t="shared" si="0"/>
        <v>103</v>
      </c>
      <c r="G13" s="652">
        <v>141</v>
      </c>
      <c r="H13" s="48" t="s">
        <v>7</v>
      </c>
      <c r="J13" s="654"/>
    </row>
    <row r="14" spans="1:10" s="212" customFormat="1">
      <c r="A14" s="204">
        <f t="shared" si="1"/>
        <v>6</v>
      </c>
      <c r="B14" s="204" t="s">
        <v>592</v>
      </c>
      <c r="C14" s="23">
        <v>417</v>
      </c>
      <c r="D14" s="318">
        <v>202</v>
      </c>
      <c r="E14" s="652">
        <v>0</v>
      </c>
      <c r="F14" s="652">
        <f t="shared" si="0"/>
        <v>202</v>
      </c>
      <c r="G14" s="652">
        <v>202</v>
      </c>
      <c r="H14" s="48" t="s">
        <v>7</v>
      </c>
      <c r="J14" s="654"/>
    </row>
    <row r="15" spans="1:10" s="212" customFormat="1">
      <c r="A15" s="204">
        <f t="shared" si="1"/>
        <v>7</v>
      </c>
      <c r="B15" s="204" t="s">
        <v>593</v>
      </c>
      <c r="C15" s="23">
        <v>462</v>
      </c>
      <c r="D15" s="318">
        <v>217</v>
      </c>
      <c r="E15" s="652">
        <v>26</v>
      </c>
      <c r="F15" s="652">
        <f t="shared" si="0"/>
        <v>191</v>
      </c>
      <c r="G15" s="652">
        <v>217</v>
      </c>
      <c r="H15" s="48" t="s">
        <v>7</v>
      </c>
      <c r="J15" s="654"/>
    </row>
    <row r="16" spans="1:10" s="212" customFormat="1">
      <c r="A16" s="204">
        <f t="shared" si="1"/>
        <v>8</v>
      </c>
      <c r="B16" s="204" t="s">
        <v>594</v>
      </c>
      <c r="C16" s="23">
        <v>1008</v>
      </c>
      <c r="D16" s="318">
        <v>305</v>
      </c>
      <c r="E16" s="652">
        <v>108</v>
      </c>
      <c r="F16" s="652">
        <f t="shared" si="0"/>
        <v>197</v>
      </c>
      <c r="G16" s="652">
        <v>305</v>
      </c>
      <c r="H16" s="48" t="s">
        <v>7</v>
      </c>
      <c r="J16" s="654"/>
    </row>
    <row r="17" spans="1:10">
      <c r="A17" s="204">
        <f t="shared" si="1"/>
        <v>9</v>
      </c>
      <c r="B17" s="204" t="s">
        <v>595</v>
      </c>
      <c r="C17" s="23">
        <v>641</v>
      </c>
      <c r="D17" s="317">
        <v>344</v>
      </c>
      <c r="E17" s="652">
        <v>26</v>
      </c>
      <c r="F17" s="652">
        <f t="shared" si="0"/>
        <v>318</v>
      </c>
      <c r="G17" s="652">
        <v>344</v>
      </c>
      <c r="H17" s="48" t="s">
        <v>7</v>
      </c>
      <c r="J17" s="654"/>
    </row>
    <row r="18" spans="1:10">
      <c r="A18" s="204">
        <f t="shared" si="1"/>
        <v>10</v>
      </c>
      <c r="B18" s="204" t="s">
        <v>596</v>
      </c>
      <c r="C18" s="23">
        <v>1241</v>
      </c>
      <c r="D18" s="317">
        <v>419</v>
      </c>
      <c r="E18" s="652">
        <v>45</v>
      </c>
      <c r="F18" s="652">
        <f t="shared" si="0"/>
        <v>374</v>
      </c>
      <c r="G18" s="652">
        <v>419</v>
      </c>
      <c r="H18" s="48" t="s">
        <v>7</v>
      </c>
      <c r="J18" s="654"/>
    </row>
    <row r="19" spans="1:10">
      <c r="A19" s="204">
        <f t="shared" si="1"/>
        <v>11</v>
      </c>
      <c r="B19" s="204" t="s">
        <v>626</v>
      </c>
      <c r="C19" s="23">
        <v>1009</v>
      </c>
      <c r="D19" s="317">
        <v>150</v>
      </c>
      <c r="E19" s="652">
        <v>104</v>
      </c>
      <c r="F19" s="652">
        <f t="shared" si="0"/>
        <v>46</v>
      </c>
      <c r="G19" s="652">
        <v>150</v>
      </c>
      <c r="H19" s="48" t="s">
        <v>7</v>
      </c>
      <c r="J19" s="654"/>
    </row>
    <row r="20" spans="1:10">
      <c r="A20" s="204">
        <f t="shared" si="1"/>
        <v>12</v>
      </c>
      <c r="B20" s="204" t="s">
        <v>597</v>
      </c>
      <c r="C20" s="23">
        <v>902</v>
      </c>
      <c r="D20" s="317">
        <v>246</v>
      </c>
      <c r="E20" s="652">
        <v>246</v>
      </c>
      <c r="F20" s="652">
        <f t="shared" si="0"/>
        <v>0</v>
      </c>
      <c r="G20" s="652">
        <v>246</v>
      </c>
      <c r="H20" s="48" t="s">
        <v>7</v>
      </c>
      <c r="J20" s="654"/>
    </row>
    <row r="21" spans="1:10">
      <c r="A21" s="204">
        <f t="shared" si="1"/>
        <v>13</v>
      </c>
      <c r="B21" s="204" t="s">
        <v>598</v>
      </c>
      <c r="C21" s="23">
        <v>857</v>
      </c>
      <c r="D21" s="317">
        <v>624</v>
      </c>
      <c r="E21" s="652">
        <v>3</v>
      </c>
      <c r="F21" s="652">
        <f t="shared" si="0"/>
        <v>621</v>
      </c>
      <c r="G21" s="652">
        <v>624</v>
      </c>
      <c r="H21" s="48" t="s">
        <v>7</v>
      </c>
      <c r="J21" s="654"/>
    </row>
    <row r="22" spans="1:10">
      <c r="A22" s="204">
        <f t="shared" si="1"/>
        <v>14</v>
      </c>
      <c r="B22" s="204" t="s">
        <v>627</v>
      </c>
      <c r="C22" s="23">
        <v>769</v>
      </c>
      <c r="D22" s="317">
        <v>277</v>
      </c>
      <c r="E22" s="652">
        <v>19</v>
      </c>
      <c r="F22" s="652">
        <f t="shared" si="0"/>
        <v>258</v>
      </c>
      <c r="G22" s="652">
        <v>277</v>
      </c>
      <c r="H22" s="48" t="s">
        <v>7</v>
      </c>
      <c r="J22" s="654"/>
    </row>
    <row r="23" spans="1:10">
      <c r="A23" s="204">
        <f t="shared" si="1"/>
        <v>15</v>
      </c>
      <c r="B23" s="204" t="s">
        <v>599</v>
      </c>
      <c r="C23" s="23">
        <v>891</v>
      </c>
      <c r="D23" s="317">
        <v>138</v>
      </c>
      <c r="E23" s="652">
        <v>138</v>
      </c>
      <c r="F23" s="652">
        <f t="shared" si="0"/>
        <v>0</v>
      </c>
      <c r="G23" s="652">
        <v>138</v>
      </c>
      <c r="H23" s="48" t="s">
        <v>7</v>
      </c>
      <c r="J23" s="654"/>
    </row>
    <row r="24" spans="1:10">
      <c r="A24" s="204">
        <f t="shared" si="1"/>
        <v>16</v>
      </c>
      <c r="B24" s="204" t="s">
        <v>600</v>
      </c>
      <c r="C24" s="23">
        <v>514</v>
      </c>
      <c r="D24" s="317">
        <v>102</v>
      </c>
      <c r="E24" s="652">
        <v>0</v>
      </c>
      <c r="F24" s="652">
        <f t="shared" si="0"/>
        <v>102</v>
      </c>
      <c r="G24" s="652">
        <v>102</v>
      </c>
      <c r="H24" s="48" t="s">
        <v>7</v>
      </c>
      <c r="J24" s="654"/>
    </row>
    <row r="25" spans="1:10">
      <c r="A25" s="204">
        <f t="shared" si="1"/>
        <v>17</v>
      </c>
      <c r="B25" s="636" t="s">
        <v>684</v>
      </c>
      <c r="C25" s="23">
        <v>409</v>
      </c>
      <c r="D25" s="317">
        <v>343</v>
      </c>
      <c r="E25" s="652">
        <v>0</v>
      </c>
      <c r="F25" s="652">
        <f t="shared" si="0"/>
        <v>343</v>
      </c>
      <c r="G25" s="652">
        <v>343</v>
      </c>
      <c r="H25" s="48" t="s">
        <v>7</v>
      </c>
      <c r="J25" s="654"/>
    </row>
    <row r="26" spans="1:10">
      <c r="A26" s="204">
        <f t="shared" si="1"/>
        <v>18</v>
      </c>
      <c r="B26" s="204" t="s">
        <v>601</v>
      </c>
      <c r="C26" s="23">
        <v>832</v>
      </c>
      <c r="D26" s="302">
        <v>379</v>
      </c>
      <c r="E26" s="652">
        <v>60</v>
      </c>
      <c r="F26" s="652">
        <f t="shared" si="0"/>
        <v>319</v>
      </c>
      <c r="G26" s="652">
        <v>379</v>
      </c>
      <c r="H26" s="48" t="s">
        <v>7</v>
      </c>
      <c r="J26" s="654"/>
    </row>
    <row r="27" spans="1:10">
      <c r="A27" s="204">
        <f t="shared" si="1"/>
        <v>19</v>
      </c>
      <c r="B27" s="204" t="s">
        <v>602</v>
      </c>
      <c r="C27" s="23">
        <v>1430</v>
      </c>
      <c r="D27" s="302">
        <v>954</v>
      </c>
      <c r="E27" s="652">
        <v>76</v>
      </c>
      <c r="F27" s="652">
        <f t="shared" si="0"/>
        <v>878</v>
      </c>
      <c r="G27" s="652">
        <v>954</v>
      </c>
      <c r="H27" s="48" t="s">
        <v>7</v>
      </c>
      <c r="J27" s="654"/>
    </row>
    <row r="28" spans="1:10">
      <c r="A28" s="204">
        <f t="shared" si="1"/>
        <v>20</v>
      </c>
      <c r="B28" s="636" t="s">
        <v>683</v>
      </c>
      <c r="C28" s="23">
        <v>492</v>
      </c>
      <c r="D28" s="302">
        <v>490</v>
      </c>
      <c r="E28" s="652">
        <v>15</v>
      </c>
      <c r="F28" s="652">
        <f t="shared" si="0"/>
        <v>475</v>
      </c>
      <c r="G28" s="652">
        <v>490</v>
      </c>
      <c r="H28" s="48" t="s">
        <v>7</v>
      </c>
      <c r="J28" s="654"/>
    </row>
    <row r="29" spans="1:10">
      <c r="A29" s="204">
        <f t="shared" si="1"/>
        <v>21</v>
      </c>
      <c r="B29" s="636" t="s">
        <v>628</v>
      </c>
      <c r="C29" s="23">
        <v>767</v>
      </c>
      <c r="D29" s="302">
        <v>283</v>
      </c>
      <c r="E29" s="652">
        <v>78</v>
      </c>
      <c r="F29" s="652">
        <f t="shared" si="0"/>
        <v>205</v>
      </c>
      <c r="G29" s="652">
        <v>283</v>
      </c>
      <c r="H29" s="48" t="s">
        <v>7</v>
      </c>
      <c r="J29" s="654"/>
    </row>
    <row r="30" spans="1:10">
      <c r="A30" s="204">
        <f t="shared" si="1"/>
        <v>22</v>
      </c>
      <c r="B30" s="204" t="s">
        <v>603</v>
      </c>
      <c r="C30" s="23">
        <v>1208</v>
      </c>
      <c r="D30" s="302">
        <v>571</v>
      </c>
      <c r="E30" s="652">
        <v>118</v>
      </c>
      <c r="F30" s="652">
        <f t="shared" si="0"/>
        <v>453</v>
      </c>
      <c r="G30" s="652">
        <v>571</v>
      </c>
      <c r="H30" s="48" t="s">
        <v>7</v>
      </c>
      <c r="J30" s="654"/>
    </row>
    <row r="31" spans="1:10">
      <c r="A31" s="204">
        <f t="shared" si="1"/>
        <v>23</v>
      </c>
      <c r="B31" s="204" t="s">
        <v>604</v>
      </c>
      <c r="C31" s="23">
        <v>529</v>
      </c>
      <c r="D31" s="507">
        <v>200</v>
      </c>
      <c r="E31" s="652">
        <v>177</v>
      </c>
      <c r="F31" s="652">
        <f t="shared" si="0"/>
        <v>23</v>
      </c>
      <c r="G31" s="652">
        <v>200</v>
      </c>
      <c r="H31" s="48" t="s">
        <v>7</v>
      </c>
      <c r="I31" s="172"/>
      <c r="J31" s="654"/>
    </row>
    <row r="32" spans="1:10">
      <c r="A32" s="204">
        <f t="shared" si="1"/>
        <v>24</v>
      </c>
      <c r="B32" s="204" t="s">
        <v>605</v>
      </c>
      <c r="C32" s="23">
        <v>480</v>
      </c>
      <c r="D32" s="507">
        <v>298</v>
      </c>
      <c r="E32" s="652">
        <v>61</v>
      </c>
      <c r="F32" s="652">
        <f t="shared" si="0"/>
        <v>237</v>
      </c>
      <c r="G32" s="652">
        <v>298</v>
      </c>
      <c r="H32" s="48" t="s">
        <v>7</v>
      </c>
      <c r="I32" s="172"/>
      <c r="J32" s="654"/>
    </row>
    <row r="33" spans="1:12">
      <c r="A33" s="204">
        <f t="shared" si="1"/>
        <v>25</v>
      </c>
      <c r="B33" s="204" t="s">
        <v>606</v>
      </c>
      <c r="C33" s="23">
        <v>1320</v>
      </c>
      <c r="D33" s="507">
        <v>502</v>
      </c>
      <c r="E33" s="652">
        <v>37</v>
      </c>
      <c r="F33" s="652">
        <f t="shared" si="0"/>
        <v>465</v>
      </c>
      <c r="G33" s="652">
        <v>502</v>
      </c>
      <c r="H33" s="48" t="s">
        <v>7</v>
      </c>
      <c r="I33" s="464"/>
      <c r="J33" s="654"/>
    </row>
    <row r="34" spans="1:12">
      <c r="A34" s="204">
        <f t="shared" si="1"/>
        <v>26</v>
      </c>
      <c r="B34" s="204" t="s">
        <v>607</v>
      </c>
      <c r="C34" s="23">
        <v>1272</v>
      </c>
      <c r="D34" s="507">
        <v>263</v>
      </c>
      <c r="E34" s="652">
        <v>13</v>
      </c>
      <c r="F34" s="652">
        <f t="shared" si="0"/>
        <v>250</v>
      </c>
      <c r="G34" s="652">
        <v>263</v>
      </c>
      <c r="H34" s="48" t="s">
        <v>7</v>
      </c>
      <c r="I34" s="465"/>
      <c r="J34" s="654"/>
    </row>
    <row r="35" spans="1:12">
      <c r="A35" s="204">
        <f t="shared" si="1"/>
        <v>27</v>
      </c>
      <c r="B35" s="204" t="s">
        <v>608</v>
      </c>
      <c r="C35" s="23">
        <v>963</v>
      </c>
      <c r="D35" s="507">
        <v>670</v>
      </c>
      <c r="E35" s="652">
        <v>254</v>
      </c>
      <c r="F35" s="652">
        <f t="shared" si="0"/>
        <v>416</v>
      </c>
      <c r="G35" s="652">
        <v>670</v>
      </c>
      <c r="H35" s="48" t="s">
        <v>7</v>
      </c>
      <c r="I35" s="136"/>
      <c r="J35" s="654"/>
      <c r="K35" s="136"/>
      <c r="L35" s="136"/>
    </row>
    <row r="36" spans="1:12">
      <c r="A36" s="204">
        <f t="shared" si="1"/>
        <v>28</v>
      </c>
      <c r="B36" s="204" t="s">
        <v>609</v>
      </c>
      <c r="C36" s="23">
        <v>951</v>
      </c>
      <c r="D36" s="302">
        <v>776</v>
      </c>
      <c r="E36" s="652">
        <v>10</v>
      </c>
      <c r="F36" s="652">
        <f t="shared" si="0"/>
        <v>766</v>
      </c>
      <c r="G36" s="652">
        <v>776</v>
      </c>
      <c r="H36" s="48" t="s">
        <v>7</v>
      </c>
      <c r="J36" s="654"/>
    </row>
    <row r="37" spans="1:12">
      <c r="A37" s="204">
        <f t="shared" si="1"/>
        <v>29</v>
      </c>
      <c r="B37" s="204" t="s">
        <v>610</v>
      </c>
      <c r="C37" s="23">
        <v>1033</v>
      </c>
      <c r="D37" s="302">
        <v>265</v>
      </c>
      <c r="E37" s="652">
        <v>47</v>
      </c>
      <c r="F37" s="652">
        <f t="shared" si="0"/>
        <v>218</v>
      </c>
      <c r="G37" s="652">
        <v>265</v>
      </c>
      <c r="H37" s="48" t="s">
        <v>7</v>
      </c>
      <c r="J37" s="654"/>
    </row>
    <row r="38" spans="1:12">
      <c r="A38" s="204">
        <f t="shared" si="1"/>
        <v>30</v>
      </c>
      <c r="B38" s="545" t="s">
        <v>611</v>
      </c>
      <c r="C38" s="23">
        <v>509</v>
      </c>
      <c r="D38" s="302">
        <v>273</v>
      </c>
      <c r="E38" s="652">
        <v>7</v>
      </c>
      <c r="F38" s="652">
        <f t="shared" si="0"/>
        <v>266</v>
      </c>
      <c r="G38" s="652">
        <v>273</v>
      </c>
      <c r="H38" s="48" t="s">
        <v>7</v>
      </c>
      <c r="J38" s="654"/>
    </row>
    <row r="39" spans="1:12">
      <c r="A39" s="204">
        <f t="shared" si="1"/>
        <v>31</v>
      </c>
      <c r="B39" s="545" t="s">
        <v>612</v>
      </c>
      <c r="C39" s="23">
        <v>607</v>
      </c>
      <c r="D39" s="302">
        <v>259</v>
      </c>
      <c r="E39" s="652">
        <v>21</v>
      </c>
      <c r="F39" s="652">
        <f t="shared" si="0"/>
        <v>238</v>
      </c>
      <c r="G39" s="652">
        <v>259</v>
      </c>
      <c r="H39" s="48" t="s">
        <v>7</v>
      </c>
      <c r="J39" s="654"/>
    </row>
    <row r="40" spans="1:12">
      <c r="A40" s="204">
        <f t="shared" si="1"/>
        <v>32</v>
      </c>
      <c r="B40" s="545" t="s">
        <v>613</v>
      </c>
      <c r="C40" s="23">
        <v>524</v>
      </c>
      <c r="D40" s="302">
        <v>353</v>
      </c>
      <c r="E40" s="652">
        <v>31</v>
      </c>
      <c r="F40" s="652">
        <f t="shared" si="0"/>
        <v>322</v>
      </c>
      <c r="G40" s="652">
        <v>353</v>
      </c>
      <c r="H40" s="48" t="s">
        <v>7</v>
      </c>
      <c r="J40" s="654"/>
    </row>
    <row r="41" spans="1:12">
      <c r="A41" s="204">
        <f t="shared" si="1"/>
        <v>33</v>
      </c>
      <c r="B41" s="545" t="s">
        <v>614</v>
      </c>
      <c r="C41" s="23">
        <v>672</v>
      </c>
      <c r="D41" s="302">
        <v>397</v>
      </c>
      <c r="E41" s="652">
        <v>172</v>
      </c>
      <c r="F41" s="652">
        <f t="shared" si="0"/>
        <v>225</v>
      </c>
      <c r="G41" s="652">
        <v>397</v>
      </c>
      <c r="H41" s="48" t="s">
        <v>7</v>
      </c>
      <c r="J41" s="654"/>
    </row>
    <row r="42" spans="1:12">
      <c r="A42" s="632"/>
      <c r="B42" s="632" t="s">
        <v>615</v>
      </c>
      <c r="C42" s="303">
        <f t="shared" ref="C42:G42" si="2">SUM(C9:C41)</f>
        <v>27329</v>
      </c>
      <c r="D42" s="303">
        <f t="shared" si="2"/>
        <v>12301</v>
      </c>
      <c r="E42" s="303">
        <f t="shared" si="2"/>
        <v>2290</v>
      </c>
      <c r="F42" s="303">
        <f t="shared" si="2"/>
        <v>10011</v>
      </c>
      <c r="G42" s="303">
        <f t="shared" si="2"/>
        <v>12301</v>
      </c>
      <c r="H42" s="48" t="s">
        <v>7</v>
      </c>
    </row>
    <row r="46" spans="1:12">
      <c r="F46" s="908" t="s">
        <v>908</v>
      </c>
      <c r="G46" s="908"/>
      <c r="H46" s="908"/>
    </row>
    <row r="47" spans="1:12">
      <c r="F47" s="909" t="s">
        <v>712</v>
      </c>
      <c r="G47" s="909"/>
      <c r="H47" s="909"/>
    </row>
  </sheetData>
  <mergeCells count="6">
    <mergeCell ref="F46:H46"/>
    <mergeCell ref="F47:H47"/>
    <mergeCell ref="A4:H4"/>
    <mergeCell ref="A2:H2"/>
    <mergeCell ref="A1:G1"/>
    <mergeCell ref="F6:H6"/>
  </mergeCells>
  <printOptions horizontalCentered="1"/>
  <pageMargins left="0.57999999999999996" right="0.6" top="0.45" bottom="0.44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topLeftCell="A13" zoomScale="70" zoomScaleNormal="85" zoomScaleSheetLayoutView="70" workbookViewId="0">
      <selection activeCell="A48" sqref="A48"/>
    </sheetView>
  </sheetViews>
  <sheetFormatPr defaultRowHeight="12.75"/>
  <cols>
    <col min="1" max="1" width="9.140625" style="449"/>
    <col min="2" max="2" width="23.5703125" style="449" customWidth="1"/>
    <col min="3" max="3" width="14" style="449" customWidth="1"/>
    <col min="4" max="4" width="18.42578125" style="449" customWidth="1"/>
    <col min="5" max="6" width="10.28515625" style="449" customWidth="1"/>
    <col min="7" max="7" width="13.28515625" style="449" customWidth="1"/>
    <col min="8" max="8" width="13.5703125" style="449" customWidth="1"/>
    <col min="9" max="16384" width="9.140625" style="449"/>
  </cols>
  <sheetData>
    <row r="1" spans="1:10" ht="15.75">
      <c r="A1" s="702" t="s">
        <v>0</v>
      </c>
      <c r="B1" s="702"/>
      <c r="C1" s="702"/>
      <c r="D1" s="702"/>
      <c r="E1" s="702"/>
      <c r="F1" s="702"/>
      <c r="H1" s="202" t="s">
        <v>668</v>
      </c>
    </row>
    <row r="2" spans="1:10" ht="20.25">
      <c r="A2" s="703" t="s">
        <v>737</v>
      </c>
      <c r="B2" s="703"/>
      <c r="C2" s="703"/>
      <c r="D2" s="703"/>
      <c r="E2" s="703"/>
      <c r="F2" s="703"/>
      <c r="G2" s="703"/>
    </row>
    <row r="3" spans="1:10" ht="9" customHeight="1"/>
    <row r="4" spans="1:10" ht="18" customHeight="1">
      <c r="A4" s="792" t="s">
        <v>705</v>
      </c>
      <c r="B4" s="792"/>
      <c r="C4" s="792"/>
      <c r="D4" s="792"/>
      <c r="E4" s="792"/>
      <c r="F4" s="792"/>
      <c r="G4" s="792"/>
    </row>
    <row r="5" spans="1:10">
      <c r="A5" s="76" t="s">
        <v>658</v>
      </c>
      <c r="B5" s="76"/>
    </row>
    <row r="6" spans="1:10">
      <c r="A6" s="76"/>
      <c r="B6" s="76"/>
      <c r="F6" s="793" t="s">
        <v>807</v>
      </c>
      <c r="G6" s="793"/>
      <c r="H6" s="793"/>
    </row>
    <row r="7" spans="1:10" s="394" customFormat="1" ht="64.5" customHeight="1">
      <c r="A7" s="447" t="s">
        <v>2</v>
      </c>
      <c r="B7" s="447" t="s">
        <v>3</v>
      </c>
      <c r="C7" s="460" t="s">
        <v>706</v>
      </c>
      <c r="D7" s="460" t="s">
        <v>707</v>
      </c>
      <c r="E7" s="460" t="s">
        <v>708</v>
      </c>
      <c r="F7" s="460" t="s">
        <v>709</v>
      </c>
      <c r="G7" s="461" t="s">
        <v>710</v>
      </c>
      <c r="H7" s="454" t="s">
        <v>711</v>
      </c>
    </row>
    <row r="8" spans="1:10" s="459" customFormat="1" ht="15" customHeight="1">
      <c r="A8" s="294" t="s">
        <v>258</v>
      </c>
      <c r="B8" s="294" t="s">
        <v>259</v>
      </c>
      <c r="C8" s="294" t="s">
        <v>260</v>
      </c>
      <c r="D8" s="294" t="s">
        <v>261</v>
      </c>
      <c r="E8" s="294" t="s">
        <v>262</v>
      </c>
      <c r="F8" s="294" t="s">
        <v>263</v>
      </c>
      <c r="G8" s="462" t="s">
        <v>264</v>
      </c>
      <c r="H8" s="463">
        <v>8</v>
      </c>
    </row>
    <row r="9" spans="1:10" s="202" customFormat="1" ht="14.25">
      <c r="A9" s="204">
        <v>1</v>
      </c>
      <c r="B9" s="204" t="s">
        <v>624</v>
      </c>
      <c r="C9" s="506">
        <v>1840</v>
      </c>
      <c r="D9" s="318">
        <v>1755</v>
      </c>
      <c r="E9" s="911">
        <v>5</v>
      </c>
      <c r="F9" s="911" t="s">
        <v>825</v>
      </c>
      <c r="G9" s="911" t="s">
        <v>670</v>
      </c>
      <c r="H9" s="911" t="s">
        <v>826</v>
      </c>
      <c r="J9" s="508"/>
    </row>
    <row r="10" spans="1:10" s="202" customFormat="1" ht="14.25">
      <c r="A10" s="204">
        <f>A9+1</f>
        <v>2</v>
      </c>
      <c r="B10" s="204" t="s">
        <v>589</v>
      </c>
      <c r="C10" s="506">
        <v>2219</v>
      </c>
      <c r="D10" s="318">
        <v>2200</v>
      </c>
      <c r="E10" s="912"/>
      <c r="F10" s="912"/>
      <c r="G10" s="912"/>
      <c r="H10" s="912"/>
      <c r="J10" s="508"/>
    </row>
    <row r="11" spans="1:10" s="202" customFormat="1" ht="14.25">
      <c r="A11" s="204">
        <f t="shared" ref="A11:A41" si="0">A10+1</f>
        <v>3</v>
      </c>
      <c r="B11" s="204" t="s">
        <v>625</v>
      </c>
      <c r="C11" s="506">
        <v>1159</v>
      </c>
      <c r="D11" s="318">
        <v>0</v>
      </c>
      <c r="E11" s="912"/>
      <c r="F11" s="912"/>
      <c r="G11" s="912"/>
      <c r="H11" s="912"/>
      <c r="J11" s="508"/>
    </row>
    <row r="12" spans="1:10" s="202" customFormat="1" ht="14.25">
      <c r="A12" s="204">
        <f t="shared" si="0"/>
        <v>4</v>
      </c>
      <c r="B12" s="204" t="s">
        <v>590</v>
      </c>
      <c r="C12" s="506">
        <v>1564</v>
      </c>
      <c r="D12" s="318">
        <v>1352</v>
      </c>
      <c r="E12" s="912"/>
      <c r="F12" s="912"/>
      <c r="G12" s="912"/>
      <c r="H12" s="912"/>
      <c r="J12" s="508"/>
    </row>
    <row r="13" spans="1:10" s="202" customFormat="1" ht="14.25">
      <c r="A13" s="204">
        <f t="shared" si="0"/>
        <v>5</v>
      </c>
      <c r="B13" s="204" t="s">
        <v>591</v>
      </c>
      <c r="C13" s="506">
        <v>1092</v>
      </c>
      <c r="D13" s="318">
        <v>882</v>
      </c>
      <c r="E13" s="912"/>
      <c r="F13" s="912"/>
      <c r="G13" s="912"/>
      <c r="H13" s="912"/>
      <c r="J13" s="508"/>
    </row>
    <row r="14" spans="1:10" s="202" customFormat="1" ht="14.25">
      <c r="A14" s="204">
        <f t="shared" si="0"/>
        <v>6</v>
      </c>
      <c r="B14" s="204" t="s">
        <v>592</v>
      </c>
      <c r="C14" s="506">
        <v>784</v>
      </c>
      <c r="D14" s="318">
        <v>756</v>
      </c>
      <c r="E14" s="912"/>
      <c r="F14" s="912"/>
      <c r="G14" s="912"/>
      <c r="H14" s="912"/>
      <c r="J14" s="508"/>
    </row>
    <row r="15" spans="1:10" s="202" customFormat="1" ht="14.25">
      <c r="A15" s="204">
        <f t="shared" si="0"/>
        <v>7</v>
      </c>
      <c r="B15" s="204" t="s">
        <v>593</v>
      </c>
      <c r="C15" s="506">
        <v>1204</v>
      </c>
      <c r="D15" s="318">
        <v>1012</v>
      </c>
      <c r="E15" s="912"/>
      <c r="F15" s="912"/>
      <c r="G15" s="912"/>
      <c r="H15" s="912"/>
      <c r="J15" s="508"/>
    </row>
    <row r="16" spans="1:10" s="202" customFormat="1" ht="14.25">
      <c r="A16" s="204">
        <f t="shared" si="0"/>
        <v>8</v>
      </c>
      <c r="B16" s="204" t="s">
        <v>594</v>
      </c>
      <c r="C16" s="506">
        <v>2002</v>
      </c>
      <c r="D16" s="318">
        <v>1035</v>
      </c>
      <c r="E16" s="912"/>
      <c r="F16" s="912"/>
      <c r="G16" s="912"/>
      <c r="H16" s="912"/>
      <c r="J16" s="508"/>
    </row>
    <row r="17" spans="1:10" ht="14.25">
      <c r="A17" s="204">
        <f t="shared" si="0"/>
        <v>9</v>
      </c>
      <c r="B17" s="204" t="s">
        <v>595</v>
      </c>
      <c r="C17" s="506">
        <v>1134</v>
      </c>
      <c r="D17" s="317">
        <v>855</v>
      </c>
      <c r="E17" s="912"/>
      <c r="F17" s="912"/>
      <c r="G17" s="912"/>
      <c r="H17" s="912"/>
      <c r="J17" s="508"/>
    </row>
    <row r="18" spans="1:10" ht="14.25">
      <c r="A18" s="204">
        <f t="shared" si="0"/>
        <v>10</v>
      </c>
      <c r="B18" s="204" t="s">
        <v>596</v>
      </c>
      <c r="C18" s="506">
        <v>2429</v>
      </c>
      <c r="D18" s="317">
        <v>2016</v>
      </c>
      <c r="E18" s="912"/>
      <c r="F18" s="912"/>
      <c r="G18" s="912"/>
      <c r="H18" s="912"/>
      <c r="J18" s="508"/>
    </row>
    <row r="19" spans="1:10" ht="14.25">
      <c r="A19" s="204">
        <f t="shared" si="0"/>
        <v>11</v>
      </c>
      <c r="B19" s="204" t="s">
        <v>626</v>
      </c>
      <c r="C19" s="506">
        <v>1581</v>
      </c>
      <c r="D19" s="317">
        <v>1465</v>
      </c>
      <c r="E19" s="912"/>
      <c r="F19" s="912"/>
      <c r="G19" s="912"/>
      <c r="H19" s="912"/>
      <c r="J19" s="508"/>
    </row>
    <row r="20" spans="1:10" ht="14.25" customHeight="1">
      <c r="A20" s="204">
        <f t="shared" si="0"/>
        <v>12</v>
      </c>
      <c r="B20" s="204" t="s">
        <v>597</v>
      </c>
      <c r="C20" s="506">
        <v>1700</v>
      </c>
      <c r="D20" s="317">
        <v>1471</v>
      </c>
      <c r="E20" s="912"/>
      <c r="F20" s="912"/>
      <c r="G20" s="912"/>
      <c r="H20" s="912"/>
      <c r="J20" s="508"/>
    </row>
    <row r="21" spans="1:10" ht="14.25">
      <c r="A21" s="204">
        <f t="shared" si="0"/>
        <v>13</v>
      </c>
      <c r="B21" s="204" t="s">
        <v>598</v>
      </c>
      <c r="C21" s="506">
        <v>1965</v>
      </c>
      <c r="D21" s="317">
        <v>1855</v>
      </c>
      <c r="E21" s="912"/>
      <c r="F21" s="912"/>
      <c r="G21" s="912"/>
      <c r="H21" s="912"/>
      <c r="I21" s="499"/>
      <c r="J21" s="508"/>
    </row>
    <row r="22" spans="1:10" ht="12" customHeight="1">
      <c r="A22" s="204">
        <f t="shared" si="0"/>
        <v>14</v>
      </c>
      <c r="B22" s="204" t="s">
        <v>627</v>
      </c>
      <c r="C22" s="506">
        <v>1290</v>
      </c>
      <c r="D22" s="317">
        <v>1152</v>
      </c>
      <c r="E22" s="912"/>
      <c r="F22" s="912"/>
      <c r="G22" s="912"/>
      <c r="H22" s="912"/>
      <c r="J22" s="508"/>
    </row>
    <row r="23" spans="1:10" ht="14.25">
      <c r="A23" s="204">
        <f t="shared" si="0"/>
        <v>15</v>
      </c>
      <c r="B23" s="204" t="s">
        <v>599</v>
      </c>
      <c r="C23" s="506">
        <v>2323</v>
      </c>
      <c r="D23" s="317">
        <v>2016</v>
      </c>
      <c r="E23" s="912"/>
      <c r="F23" s="912"/>
      <c r="G23" s="912"/>
      <c r="H23" s="912"/>
      <c r="J23" s="508"/>
    </row>
    <row r="24" spans="1:10" ht="14.25">
      <c r="A24" s="204">
        <f t="shared" si="0"/>
        <v>16</v>
      </c>
      <c r="B24" s="204" t="s">
        <v>600</v>
      </c>
      <c r="C24" s="506">
        <v>1156</v>
      </c>
      <c r="D24" s="317">
        <v>946</v>
      </c>
      <c r="E24" s="912"/>
      <c r="F24" s="912"/>
      <c r="G24" s="912"/>
      <c r="H24" s="912"/>
      <c r="J24" s="508"/>
    </row>
    <row r="25" spans="1:10" s="527" customFormat="1" ht="14.25">
      <c r="A25" s="204">
        <f t="shared" si="0"/>
        <v>17</v>
      </c>
      <c r="B25" s="529" t="s">
        <v>684</v>
      </c>
      <c r="C25" s="506">
        <v>636</v>
      </c>
      <c r="D25" s="317">
        <v>516</v>
      </c>
      <c r="E25" s="912"/>
      <c r="F25" s="912"/>
      <c r="G25" s="912"/>
      <c r="H25" s="912"/>
      <c r="J25" s="508"/>
    </row>
    <row r="26" spans="1:10" ht="14.25">
      <c r="A26" s="204">
        <f t="shared" si="0"/>
        <v>18</v>
      </c>
      <c r="B26" s="204" t="s">
        <v>601</v>
      </c>
      <c r="C26" s="506">
        <v>1863</v>
      </c>
      <c r="D26" s="302">
        <v>1612</v>
      </c>
      <c r="E26" s="912"/>
      <c r="F26" s="912"/>
      <c r="G26" s="912"/>
      <c r="H26" s="912"/>
      <c r="J26" s="508"/>
    </row>
    <row r="27" spans="1:10" ht="14.25">
      <c r="A27" s="204">
        <f t="shared" si="0"/>
        <v>19</v>
      </c>
      <c r="B27" s="204" t="s">
        <v>602</v>
      </c>
      <c r="C27" s="506">
        <v>2903</v>
      </c>
      <c r="D27" s="302">
        <v>2661</v>
      </c>
      <c r="E27" s="912"/>
      <c r="F27" s="912"/>
      <c r="G27" s="912"/>
      <c r="H27" s="912"/>
      <c r="J27" s="508"/>
    </row>
    <row r="28" spans="1:10" s="527" customFormat="1" ht="14.25">
      <c r="A28" s="204">
        <f t="shared" si="0"/>
        <v>20</v>
      </c>
      <c r="B28" s="529" t="s">
        <v>683</v>
      </c>
      <c r="C28" s="506">
        <v>1524</v>
      </c>
      <c r="D28" s="302">
        <v>1315</v>
      </c>
      <c r="E28" s="912"/>
      <c r="F28" s="912"/>
      <c r="G28" s="912"/>
      <c r="H28" s="912"/>
      <c r="J28" s="508"/>
    </row>
    <row r="29" spans="1:10" ht="14.25">
      <c r="A29" s="204">
        <f t="shared" si="0"/>
        <v>21</v>
      </c>
      <c r="B29" s="529" t="s">
        <v>628</v>
      </c>
      <c r="C29" s="506">
        <v>1285</v>
      </c>
      <c r="D29" s="302">
        <v>1025</v>
      </c>
      <c r="E29" s="912"/>
      <c r="F29" s="912"/>
      <c r="G29" s="912"/>
      <c r="H29" s="912"/>
      <c r="J29" s="508"/>
    </row>
    <row r="30" spans="1:10" ht="14.25">
      <c r="A30" s="204">
        <f t="shared" si="0"/>
        <v>22</v>
      </c>
      <c r="B30" s="204" t="s">
        <v>603</v>
      </c>
      <c r="C30" s="506">
        <v>2281</v>
      </c>
      <c r="D30" s="302">
        <v>2013</v>
      </c>
      <c r="E30" s="912"/>
      <c r="F30" s="912"/>
      <c r="G30" s="912"/>
      <c r="H30" s="912"/>
      <c r="J30" s="508"/>
    </row>
    <row r="31" spans="1:10" ht="14.25">
      <c r="A31" s="204">
        <f t="shared" si="0"/>
        <v>23</v>
      </c>
      <c r="B31" s="204" t="s">
        <v>604</v>
      </c>
      <c r="C31" s="506">
        <v>1123</v>
      </c>
      <c r="D31" s="507">
        <v>965</v>
      </c>
      <c r="E31" s="912"/>
      <c r="F31" s="912"/>
      <c r="G31" s="912"/>
      <c r="H31" s="912"/>
      <c r="I31" s="172"/>
      <c r="J31" s="508"/>
    </row>
    <row r="32" spans="1:10" ht="14.25">
      <c r="A32" s="204">
        <f t="shared" si="0"/>
        <v>24</v>
      </c>
      <c r="B32" s="204" t="s">
        <v>605</v>
      </c>
      <c r="C32" s="506">
        <v>863</v>
      </c>
      <c r="D32" s="507">
        <v>802</v>
      </c>
      <c r="E32" s="912"/>
      <c r="F32" s="912"/>
      <c r="G32" s="912"/>
      <c r="H32" s="912"/>
      <c r="I32" s="172"/>
      <c r="J32" s="508"/>
    </row>
    <row r="33" spans="1:12" ht="12.75" customHeight="1">
      <c r="A33" s="204">
        <f t="shared" si="0"/>
        <v>25</v>
      </c>
      <c r="B33" s="204" t="s">
        <v>606</v>
      </c>
      <c r="C33" s="506">
        <v>2693</v>
      </c>
      <c r="D33" s="507">
        <v>2165</v>
      </c>
      <c r="E33" s="912"/>
      <c r="F33" s="912"/>
      <c r="G33" s="912"/>
      <c r="H33" s="912"/>
      <c r="I33" s="464"/>
      <c r="J33" s="508"/>
    </row>
    <row r="34" spans="1:12" ht="14.25">
      <c r="A34" s="204">
        <f t="shared" si="0"/>
        <v>26</v>
      </c>
      <c r="B34" s="204" t="s">
        <v>607</v>
      </c>
      <c r="C34" s="506">
        <v>2658</v>
      </c>
      <c r="D34" s="507">
        <v>1952</v>
      </c>
      <c r="E34" s="912"/>
      <c r="F34" s="912"/>
      <c r="G34" s="912"/>
      <c r="H34" s="912"/>
      <c r="I34" s="465"/>
      <c r="J34" s="508"/>
    </row>
    <row r="35" spans="1:12" ht="14.25">
      <c r="A35" s="204">
        <f t="shared" si="0"/>
        <v>27</v>
      </c>
      <c r="B35" s="204" t="s">
        <v>608</v>
      </c>
      <c r="C35" s="506">
        <v>2051</v>
      </c>
      <c r="D35" s="507">
        <v>1846</v>
      </c>
      <c r="E35" s="912"/>
      <c r="F35" s="912"/>
      <c r="G35" s="912"/>
      <c r="H35" s="912"/>
      <c r="I35" s="136"/>
      <c r="J35" s="508"/>
      <c r="K35" s="136"/>
      <c r="L35" s="136"/>
    </row>
    <row r="36" spans="1:12" ht="14.25">
      <c r="A36" s="204">
        <f t="shared" si="0"/>
        <v>28</v>
      </c>
      <c r="B36" s="204" t="s">
        <v>609</v>
      </c>
      <c r="C36" s="506">
        <v>1891</v>
      </c>
      <c r="D36" s="302">
        <v>1652</v>
      </c>
      <c r="E36" s="912"/>
      <c r="F36" s="912"/>
      <c r="G36" s="912"/>
      <c r="H36" s="912"/>
      <c r="J36" s="508"/>
    </row>
    <row r="37" spans="1:12" ht="14.25">
      <c r="A37" s="204">
        <f t="shared" si="0"/>
        <v>29</v>
      </c>
      <c r="B37" s="204" t="s">
        <v>610</v>
      </c>
      <c r="C37" s="506">
        <v>1949</v>
      </c>
      <c r="D37" s="302">
        <v>1765</v>
      </c>
      <c r="E37" s="912"/>
      <c r="F37" s="912"/>
      <c r="G37" s="912"/>
      <c r="H37" s="912"/>
      <c r="J37" s="508"/>
    </row>
    <row r="38" spans="1:12" ht="14.25">
      <c r="A38" s="204">
        <f t="shared" si="0"/>
        <v>30</v>
      </c>
      <c r="B38" s="502" t="s">
        <v>611</v>
      </c>
      <c r="C38" s="506">
        <v>1226</v>
      </c>
      <c r="D38" s="302">
        <v>978</v>
      </c>
      <c r="E38" s="912"/>
      <c r="F38" s="912"/>
      <c r="G38" s="912"/>
      <c r="H38" s="912"/>
      <c r="J38" s="508"/>
    </row>
    <row r="39" spans="1:12" ht="14.25">
      <c r="A39" s="204">
        <f t="shared" si="0"/>
        <v>31</v>
      </c>
      <c r="B39" s="502" t="s">
        <v>612</v>
      </c>
      <c r="C39" s="506">
        <v>1330</v>
      </c>
      <c r="D39" s="302">
        <v>1072</v>
      </c>
      <c r="E39" s="912"/>
      <c r="F39" s="912"/>
      <c r="G39" s="912"/>
      <c r="H39" s="912"/>
      <c r="J39" s="508"/>
    </row>
    <row r="40" spans="1:12" ht="14.25">
      <c r="A40" s="204">
        <f t="shared" si="0"/>
        <v>32</v>
      </c>
      <c r="B40" s="502" t="s">
        <v>613</v>
      </c>
      <c r="C40" s="506">
        <v>1087</v>
      </c>
      <c r="D40" s="302">
        <v>884</v>
      </c>
      <c r="E40" s="912"/>
      <c r="F40" s="912"/>
      <c r="G40" s="912"/>
      <c r="H40" s="912"/>
      <c r="J40" s="508"/>
    </row>
    <row r="41" spans="1:12" ht="14.25">
      <c r="A41" s="204">
        <f t="shared" si="0"/>
        <v>33</v>
      </c>
      <c r="B41" s="502" t="s">
        <v>614</v>
      </c>
      <c r="C41" s="506">
        <v>1396</v>
      </c>
      <c r="D41" s="302">
        <v>1057</v>
      </c>
      <c r="E41" s="913"/>
      <c r="F41" s="913"/>
      <c r="G41" s="913"/>
      <c r="H41" s="913"/>
      <c r="J41" s="508"/>
    </row>
    <row r="42" spans="1:12">
      <c r="A42" s="444"/>
      <c r="B42" s="444" t="s">
        <v>615</v>
      </c>
      <c r="C42" s="303">
        <f t="shared" ref="C42:E42" si="1">SUM(C9:C41)</f>
        <v>54201</v>
      </c>
      <c r="D42" s="17">
        <f t="shared" si="1"/>
        <v>45048</v>
      </c>
      <c r="E42" s="17">
        <f t="shared" si="1"/>
        <v>5</v>
      </c>
      <c r="F42" s="17"/>
      <c r="G42" s="17"/>
      <c r="H42" s="17"/>
    </row>
    <row r="45" spans="1:12" ht="12.75" customHeight="1">
      <c r="E45" s="908" t="s">
        <v>908</v>
      </c>
      <c r="F45" s="908"/>
      <c r="G45" s="908"/>
      <c r="H45" s="908"/>
      <c r="I45" s="908"/>
    </row>
    <row r="46" spans="1:12">
      <c r="F46" s="909" t="s">
        <v>712</v>
      </c>
      <c r="G46" s="909"/>
      <c r="H46" s="909"/>
    </row>
    <row r="47" spans="1:12">
      <c r="F47" s="136"/>
      <c r="G47" s="136"/>
      <c r="H47" s="136"/>
    </row>
  </sheetData>
  <mergeCells count="10">
    <mergeCell ref="F46:H46"/>
    <mergeCell ref="A1:F1"/>
    <mergeCell ref="A2:G2"/>
    <mergeCell ref="A4:G4"/>
    <mergeCell ref="F6:H6"/>
    <mergeCell ref="F9:F41"/>
    <mergeCell ref="E9:E41"/>
    <mergeCell ref="G9:G41"/>
    <mergeCell ref="H9:H41"/>
    <mergeCell ref="E45:I45"/>
  </mergeCells>
  <printOptions horizontalCentered="1"/>
  <pageMargins left="0.55000000000000004" right="0.27" top="0.43" bottom="0.26" header="0.31496062992126" footer="0.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topLeftCell="A7" zoomScale="90" zoomScaleNormal="70" zoomScaleSheetLayoutView="90" workbookViewId="0">
      <selection activeCell="D26" sqref="D26"/>
    </sheetView>
  </sheetViews>
  <sheetFormatPr defaultRowHeight="12.75"/>
  <cols>
    <col min="1" max="1" width="10.28515625" style="173" customWidth="1"/>
    <col min="2" max="2" width="12" style="173" customWidth="1"/>
    <col min="3" max="3" width="16.28515625" style="173" customWidth="1"/>
    <col min="4" max="4" width="15.85546875" style="173" customWidth="1"/>
    <col min="5" max="5" width="11.5703125" style="173" customWidth="1"/>
    <col min="6" max="6" width="15" style="173" customWidth="1"/>
    <col min="7" max="7" width="9.7109375" style="173" customWidth="1"/>
    <col min="8" max="8" width="15.140625" style="173" customWidth="1"/>
    <col min="9" max="9" width="16.5703125" style="173" customWidth="1"/>
    <col min="10" max="10" width="18.28515625" style="173" customWidth="1"/>
    <col min="11" max="11" width="14.140625" style="173" customWidth="1"/>
    <col min="12" max="16384" width="9.140625" style="173"/>
  </cols>
  <sheetData>
    <row r="1" spans="1:19" ht="15">
      <c r="D1" s="700"/>
      <c r="E1" s="700"/>
      <c r="H1" s="25"/>
      <c r="I1" s="794" t="s">
        <v>64</v>
      </c>
      <c r="J1" s="794"/>
    </row>
    <row r="2" spans="1:19" ht="15">
      <c r="A2" s="872" t="s">
        <v>0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9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9" ht="10.5" customHeight="1"/>
    <row r="5" spans="1:19" ht="24.75" customHeight="1">
      <c r="A5" s="915" t="s">
        <v>427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</row>
    <row r="6" spans="1:19" ht="15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9">
      <c r="A7" s="699" t="s">
        <v>658</v>
      </c>
      <c r="B7" s="699"/>
      <c r="E7" s="864"/>
      <c r="F7" s="864"/>
      <c r="G7" s="864"/>
      <c r="H7" s="864"/>
      <c r="I7" s="864" t="s">
        <v>808</v>
      </c>
      <c r="J7" s="864"/>
      <c r="K7" s="864"/>
    </row>
    <row r="8" spans="1:19" s="4" customFormat="1" ht="15.75" hidden="1">
      <c r="C8" s="872" t="s">
        <v>13</v>
      </c>
      <c r="D8" s="872"/>
      <c r="E8" s="872"/>
      <c r="F8" s="872"/>
      <c r="G8" s="872"/>
      <c r="H8" s="872"/>
      <c r="I8" s="872"/>
      <c r="J8" s="872"/>
    </row>
    <row r="9" spans="1:19" ht="44.25" customHeight="1">
      <c r="A9" s="795" t="s">
        <v>20</v>
      </c>
      <c r="B9" s="795" t="s">
        <v>54</v>
      </c>
      <c r="C9" s="677" t="s">
        <v>455</v>
      </c>
      <c r="D9" s="679"/>
      <c r="E9" s="677" t="s">
        <v>34</v>
      </c>
      <c r="F9" s="679"/>
      <c r="G9" s="677" t="s">
        <v>35</v>
      </c>
      <c r="H9" s="679"/>
      <c r="I9" s="668" t="s">
        <v>100</v>
      </c>
      <c r="J9" s="668"/>
      <c r="K9" s="795" t="s">
        <v>506</v>
      </c>
      <c r="R9" s="8"/>
      <c r="S9" s="10"/>
    </row>
    <row r="10" spans="1:19" s="5" customFormat="1" ht="42.6" customHeight="1">
      <c r="A10" s="796"/>
      <c r="B10" s="796"/>
      <c r="C10" s="150" t="s">
        <v>36</v>
      </c>
      <c r="D10" s="150" t="s">
        <v>99</v>
      </c>
      <c r="E10" s="150" t="s">
        <v>36</v>
      </c>
      <c r="F10" s="150" t="s">
        <v>99</v>
      </c>
      <c r="G10" s="150" t="s">
        <v>36</v>
      </c>
      <c r="H10" s="150" t="s">
        <v>99</v>
      </c>
      <c r="I10" s="150" t="s">
        <v>132</v>
      </c>
      <c r="J10" s="150" t="s">
        <v>133</v>
      </c>
      <c r="K10" s="796"/>
    </row>
    <row r="11" spans="1:19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144">
        <v>11</v>
      </c>
    </row>
    <row r="12" spans="1:19" ht="17.25" customHeight="1">
      <c r="A12" s="143">
        <v>1</v>
      </c>
      <c r="B12" s="143" t="s">
        <v>363</v>
      </c>
      <c r="C12" s="393"/>
      <c r="D12" s="393"/>
      <c r="E12" s="393"/>
      <c r="F12" s="393"/>
      <c r="G12" s="393"/>
      <c r="H12" s="393"/>
      <c r="I12" s="393">
        <f>C12-E12-G12</f>
        <v>0</v>
      </c>
      <c r="J12" s="393">
        <f t="shared" ref="J12:J24" si="0">D12-F12-H12</f>
        <v>0</v>
      </c>
      <c r="K12" s="730" t="s">
        <v>898</v>
      </c>
    </row>
    <row r="13" spans="1:19" ht="17.25" customHeight="1">
      <c r="A13" s="143">
        <v>2</v>
      </c>
      <c r="B13" s="143" t="s">
        <v>364</v>
      </c>
      <c r="C13" s="393"/>
      <c r="D13" s="393"/>
      <c r="E13" s="393"/>
      <c r="F13" s="393"/>
      <c r="G13" s="393"/>
      <c r="H13" s="393"/>
      <c r="I13" s="393">
        <f t="shared" ref="I13:I24" si="1">C13-E13-G13</f>
        <v>0</v>
      </c>
      <c r="J13" s="393">
        <f t="shared" si="0"/>
        <v>0</v>
      </c>
      <c r="K13" s="914"/>
    </row>
    <row r="14" spans="1:19" ht="17.25" customHeight="1">
      <c r="A14" s="143">
        <v>3</v>
      </c>
      <c r="B14" s="143" t="s">
        <v>365</v>
      </c>
      <c r="C14" s="393"/>
      <c r="D14" s="393"/>
      <c r="E14" s="393"/>
      <c r="F14" s="393"/>
      <c r="G14" s="393"/>
      <c r="H14" s="393"/>
      <c r="I14" s="393">
        <f t="shared" si="1"/>
        <v>0</v>
      </c>
      <c r="J14" s="393">
        <f t="shared" si="0"/>
        <v>0</v>
      </c>
      <c r="K14" s="914"/>
    </row>
    <row r="15" spans="1:19" ht="17.25" customHeight="1">
      <c r="A15" s="143">
        <v>4</v>
      </c>
      <c r="B15" s="143" t="s">
        <v>366</v>
      </c>
      <c r="C15" s="393"/>
      <c r="D15" s="393"/>
      <c r="E15" s="393"/>
      <c r="F15" s="393"/>
      <c r="G15" s="393"/>
      <c r="H15" s="393"/>
      <c r="I15" s="393">
        <f t="shared" si="1"/>
        <v>0</v>
      </c>
      <c r="J15" s="393">
        <f t="shared" si="0"/>
        <v>0</v>
      </c>
      <c r="K15" s="914"/>
    </row>
    <row r="16" spans="1:19" ht="17.25" customHeight="1">
      <c r="A16" s="143">
        <v>5</v>
      </c>
      <c r="B16" s="143" t="s">
        <v>367</v>
      </c>
      <c r="C16" s="393"/>
      <c r="D16" s="393"/>
      <c r="E16" s="393"/>
      <c r="F16" s="393"/>
      <c r="G16" s="393"/>
      <c r="H16" s="393"/>
      <c r="I16" s="393">
        <f t="shared" si="1"/>
        <v>0</v>
      </c>
      <c r="J16" s="393">
        <f t="shared" si="0"/>
        <v>0</v>
      </c>
      <c r="K16" s="914"/>
    </row>
    <row r="17" spans="1:11" ht="17.25" customHeight="1">
      <c r="A17" s="143">
        <v>6</v>
      </c>
      <c r="B17" s="143" t="s">
        <v>368</v>
      </c>
      <c r="C17" s="393"/>
      <c r="D17" s="393"/>
      <c r="E17" s="393"/>
      <c r="F17" s="393"/>
      <c r="G17" s="393"/>
      <c r="H17" s="393"/>
      <c r="I17" s="393">
        <f t="shared" si="1"/>
        <v>0</v>
      </c>
      <c r="J17" s="393">
        <f t="shared" si="0"/>
        <v>0</v>
      </c>
      <c r="K17" s="914"/>
    </row>
    <row r="18" spans="1:11" ht="17.25" customHeight="1">
      <c r="A18" s="143">
        <v>7</v>
      </c>
      <c r="B18" s="143" t="s">
        <v>369</v>
      </c>
      <c r="C18" s="393"/>
      <c r="D18" s="393"/>
      <c r="E18" s="393"/>
      <c r="F18" s="393"/>
      <c r="G18" s="393"/>
      <c r="H18" s="393"/>
      <c r="I18" s="393">
        <f t="shared" si="1"/>
        <v>0</v>
      </c>
      <c r="J18" s="393">
        <f t="shared" si="0"/>
        <v>0</v>
      </c>
      <c r="K18" s="914"/>
    </row>
    <row r="19" spans="1:11" s="10" customFormat="1" ht="14.25" customHeight="1">
      <c r="A19" s="143">
        <v>8</v>
      </c>
      <c r="B19" s="143" t="s">
        <v>249</v>
      </c>
      <c r="C19" s="393"/>
      <c r="D19" s="393"/>
      <c r="E19" s="393"/>
      <c r="F19" s="393"/>
      <c r="G19" s="393"/>
      <c r="H19" s="393"/>
      <c r="I19" s="393">
        <f t="shared" si="1"/>
        <v>0</v>
      </c>
      <c r="J19" s="393">
        <f t="shared" si="0"/>
        <v>0</v>
      </c>
      <c r="K19" s="914"/>
    </row>
    <row r="20" spans="1:11" s="10" customFormat="1" ht="14.25" customHeight="1">
      <c r="A20" s="143">
        <v>9</v>
      </c>
      <c r="B20" s="143" t="s">
        <v>345</v>
      </c>
      <c r="C20" s="393"/>
      <c r="D20" s="393"/>
      <c r="E20" s="393"/>
      <c r="F20" s="393"/>
      <c r="G20" s="393"/>
      <c r="H20" s="393"/>
      <c r="I20" s="393">
        <f t="shared" si="1"/>
        <v>0</v>
      </c>
      <c r="J20" s="393">
        <f t="shared" si="0"/>
        <v>0</v>
      </c>
      <c r="K20" s="914"/>
    </row>
    <row r="21" spans="1:11" s="10" customFormat="1" ht="14.25" customHeight="1">
      <c r="A21" s="143">
        <v>10</v>
      </c>
      <c r="B21" s="143" t="s">
        <v>505</v>
      </c>
      <c r="C21" s="393"/>
      <c r="D21" s="393"/>
      <c r="E21" s="393"/>
      <c r="F21" s="393"/>
      <c r="G21" s="393"/>
      <c r="H21" s="393"/>
      <c r="I21" s="393">
        <f t="shared" si="1"/>
        <v>0</v>
      </c>
      <c r="J21" s="393">
        <f t="shared" si="0"/>
        <v>0</v>
      </c>
      <c r="K21" s="914"/>
    </row>
    <row r="22" spans="1:11" s="10" customFormat="1" ht="14.25" customHeight="1">
      <c r="A22" s="143">
        <v>11</v>
      </c>
      <c r="B22" s="143" t="s">
        <v>467</v>
      </c>
      <c r="C22" s="399"/>
      <c r="D22" s="399"/>
      <c r="E22" s="399"/>
      <c r="F22" s="399"/>
      <c r="G22" s="399"/>
      <c r="H22" s="399"/>
      <c r="I22" s="393">
        <f t="shared" si="1"/>
        <v>0</v>
      </c>
      <c r="J22" s="393">
        <f t="shared" si="0"/>
        <v>0</v>
      </c>
      <c r="K22" s="914"/>
    </row>
    <row r="23" spans="1:11" s="10" customFormat="1" ht="14.25" customHeight="1">
      <c r="A23" s="443">
        <v>12</v>
      </c>
      <c r="B23" s="443" t="s">
        <v>504</v>
      </c>
      <c r="C23" s="399"/>
      <c r="D23" s="399"/>
      <c r="E23" s="399"/>
      <c r="F23" s="399"/>
      <c r="G23" s="399"/>
      <c r="H23" s="399"/>
      <c r="I23" s="393">
        <f t="shared" si="1"/>
        <v>0</v>
      </c>
      <c r="J23" s="393">
        <f t="shared" si="0"/>
        <v>0</v>
      </c>
      <c r="K23" s="914"/>
    </row>
    <row r="24" spans="1:11" s="10" customFormat="1" ht="14.25" customHeight="1">
      <c r="A24" s="502">
        <v>13</v>
      </c>
      <c r="B24" s="502" t="s">
        <v>634</v>
      </c>
      <c r="C24" s="417"/>
      <c r="D24" s="417"/>
      <c r="E24" s="417"/>
      <c r="F24" s="417"/>
      <c r="G24" s="639"/>
      <c r="H24" s="417"/>
      <c r="I24" s="393">
        <f t="shared" si="1"/>
        <v>0</v>
      </c>
      <c r="J24" s="640">
        <f t="shared" si="0"/>
        <v>0</v>
      </c>
      <c r="K24" s="914"/>
    </row>
    <row r="25" spans="1:11" s="10" customFormat="1" ht="15.75" customHeight="1">
      <c r="A25" s="144" t="s">
        <v>16</v>
      </c>
      <c r="B25" s="8"/>
      <c r="C25" s="548">
        <v>30408</v>
      </c>
      <c r="D25" s="307">
        <v>23649.15</v>
      </c>
      <c r="E25" s="548">
        <v>17483</v>
      </c>
      <c r="F25" s="307">
        <v>13377.42</v>
      </c>
      <c r="G25" s="641">
        <v>3698</v>
      </c>
      <c r="H25" s="307">
        <v>2837.89</v>
      </c>
      <c r="I25" s="548">
        <v>9227</v>
      </c>
      <c r="J25" s="1137">
        <f>D25-F25-H25</f>
        <v>7433.840000000002</v>
      </c>
      <c r="K25" s="731"/>
    </row>
    <row r="26" spans="1:11" s="10" customFormat="1">
      <c r="A26" s="9"/>
    </row>
    <row r="27" spans="1:11">
      <c r="A27" s="5"/>
    </row>
    <row r="28" spans="1:11">
      <c r="A28" s="797"/>
      <c r="B28" s="797"/>
      <c r="C28" s="797"/>
      <c r="D28" s="797"/>
      <c r="E28" s="797"/>
      <c r="F28" s="797"/>
      <c r="G28" s="797"/>
      <c r="H28" s="797"/>
      <c r="I28" s="797"/>
      <c r="J28" s="797"/>
    </row>
    <row r="30" spans="1:11" ht="15.75">
      <c r="G30" s="761" t="s">
        <v>908</v>
      </c>
      <c r="H30" s="761"/>
      <c r="I30" s="761"/>
      <c r="J30" s="761"/>
    </row>
    <row r="31" spans="1:11" ht="15.75">
      <c r="G31" s="761" t="s">
        <v>646</v>
      </c>
      <c r="H31" s="761"/>
      <c r="I31" s="761"/>
      <c r="J31" s="761"/>
    </row>
  </sheetData>
  <mergeCells count="20">
    <mergeCell ref="E9:F9"/>
    <mergeCell ref="G9:H9"/>
    <mergeCell ref="I9:J9"/>
    <mergeCell ref="K9:K10"/>
    <mergeCell ref="A28:J28"/>
    <mergeCell ref="K12:K25"/>
    <mergeCell ref="G30:J30"/>
    <mergeCell ref="G31:J31"/>
    <mergeCell ref="D1:E1"/>
    <mergeCell ref="I1:J1"/>
    <mergeCell ref="A2:J2"/>
    <mergeCell ref="A3:J3"/>
    <mergeCell ref="A5:K5"/>
    <mergeCell ref="A7:B7"/>
    <mergeCell ref="E7:H7"/>
    <mergeCell ref="I7:K7"/>
    <mergeCell ref="C8:J8"/>
    <mergeCell ref="A9:A10"/>
    <mergeCell ref="B9:B10"/>
    <mergeCell ref="C9:D9"/>
  </mergeCells>
  <printOptions horizontalCentered="1"/>
  <pageMargins left="0.46" right="0.47" top="0.5" bottom="0" header="0.31496062992125984" footer="0.31496062992125984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topLeftCell="A34" zoomScale="90" zoomScaleNormal="70" zoomScaleSheetLayoutView="90" workbookViewId="0">
      <selection activeCell="I40" sqref="I40:I42"/>
    </sheetView>
  </sheetViews>
  <sheetFormatPr defaultRowHeight="12.75"/>
  <cols>
    <col min="1" max="1" width="9.140625" style="173"/>
    <col min="2" max="2" width="18.140625" style="173" customWidth="1"/>
    <col min="3" max="3" width="16.28515625" style="173" customWidth="1"/>
    <col min="4" max="4" width="15.85546875" style="173" customWidth="1"/>
    <col min="5" max="5" width="11.5703125" style="173" customWidth="1"/>
    <col min="6" max="6" width="15" style="173" customWidth="1"/>
    <col min="7" max="7" width="9.7109375" style="173" customWidth="1"/>
    <col min="8" max="8" width="15.140625" style="173" customWidth="1"/>
    <col min="9" max="9" width="16.5703125" style="173" customWidth="1"/>
    <col min="10" max="10" width="18.28515625" style="173" customWidth="1"/>
    <col min="11" max="11" width="14.140625" style="173" customWidth="1"/>
    <col min="12" max="16384" width="9.140625" style="173"/>
  </cols>
  <sheetData>
    <row r="1" spans="1:19" ht="15">
      <c r="D1" s="700"/>
      <c r="E1" s="700"/>
      <c r="H1" s="25"/>
      <c r="I1" s="794" t="s">
        <v>370</v>
      </c>
      <c r="J1" s="794"/>
    </row>
    <row r="2" spans="1:19" ht="15">
      <c r="A2" s="872" t="s">
        <v>0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9" ht="20.25">
      <c r="A3" s="703" t="s">
        <v>799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9" ht="10.5" customHeight="1"/>
    <row r="5" spans="1:19" ht="37.5" customHeight="1">
      <c r="A5" s="915" t="s">
        <v>428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</row>
    <row r="6" spans="1:19" ht="15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9">
      <c r="A7" s="699" t="s">
        <v>658</v>
      </c>
      <c r="B7" s="699"/>
      <c r="E7" s="864"/>
      <c r="F7" s="864"/>
      <c r="G7" s="864"/>
      <c r="H7" s="864"/>
      <c r="I7" s="864" t="s">
        <v>808</v>
      </c>
      <c r="J7" s="864"/>
      <c r="K7" s="864"/>
    </row>
    <row r="8" spans="1:19" s="4" customFormat="1" ht="15.75" hidden="1">
      <c r="C8" s="872" t="s">
        <v>13</v>
      </c>
      <c r="D8" s="872"/>
      <c r="E8" s="872"/>
      <c r="F8" s="872"/>
      <c r="G8" s="872"/>
      <c r="H8" s="872"/>
      <c r="I8" s="872"/>
      <c r="J8" s="872"/>
    </row>
    <row r="9" spans="1:19" ht="30" customHeight="1">
      <c r="A9" s="730" t="s">
        <v>20</v>
      </c>
      <c r="B9" s="730" t="s">
        <v>33</v>
      </c>
      <c r="C9" s="677" t="s">
        <v>713</v>
      </c>
      <c r="D9" s="679"/>
      <c r="E9" s="677" t="s">
        <v>34</v>
      </c>
      <c r="F9" s="679"/>
      <c r="G9" s="677" t="s">
        <v>35</v>
      </c>
      <c r="H9" s="679"/>
      <c r="I9" s="668" t="s">
        <v>100</v>
      </c>
      <c r="J9" s="668"/>
      <c r="K9" s="795" t="s">
        <v>234</v>
      </c>
      <c r="R9" s="8"/>
      <c r="S9" s="10"/>
    </row>
    <row r="10" spans="1:19" s="5" customFormat="1" ht="42.6" customHeight="1">
      <c r="A10" s="731"/>
      <c r="B10" s="731"/>
      <c r="C10" s="442" t="s">
        <v>36</v>
      </c>
      <c r="D10" s="442" t="s">
        <v>714</v>
      </c>
      <c r="E10" s="442" t="s">
        <v>36</v>
      </c>
      <c r="F10" s="442" t="s">
        <v>714</v>
      </c>
      <c r="G10" s="442" t="s">
        <v>36</v>
      </c>
      <c r="H10" s="442" t="s">
        <v>714</v>
      </c>
      <c r="I10" s="442" t="s">
        <v>132</v>
      </c>
      <c r="J10" s="150" t="s">
        <v>133</v>
      </c>
      <c r="K10" s="796"/>
    </row>
    <row r="11" spans="1:19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144">
        <v>11</v>
      </c>
    </row>
    <row r="12" spans="1:19" ht="12.75" customHeight="1">
      <c r="A12" s="204">
        <v>1</v>
      </c>
      <c r="B12" s="204" t="s">
        <v>624</v>
      </c>
      <c r="C12" s="1139">
        <v>3206</v>
      </c>
      <c r="D12" s="1140">
        <v>2422.7249999999999</v>
      </c>
      <c r="E12" s="1139">
        <v>1419</v>
      </c>
      <c r="F12" s="1140">
        <v>1085.77</v>
      </c>
      <c r="G12" s="1139">
        <v>713</v>
      </c>
      <c r="H12" s="1140">
        <v>547.16</v>
      </c>
      <c r="I12" s="1139">
        <f>C12-E12-G12</f>
        <v>1074</v>
      </c>
      <c r="J12" s="1140">
        <f>D12-F12-H12</f>
        <v>789.79499999999996</v>
      </c>
      <c r="K12" s="911" t="s">
        <v>672</v>
      </c>
    </row>
    <row r="13" spans="1:19">
      <c r="A13" s="204">
        <f>A12+1</f>
        <v>2</v>
      </c>
      <c r="B13" s="204" t="s">
        <v>626</v>
      </c>
      <c r="C13" s="1141"/>
      <c r="D13" s="1142"/>
      <c r="E13" s="1141"/>
      <c r="F13" s="1142"/>
      <c r="G13" s="1141"/>
      <c r="H13" s="1142"/>
      <c r="I13" s="1141"/>
      <c r="J13" s="1142"/>
      <c r="K13" s="912"/>
    </row>
    <row r="14" spans="1:19">
      <c r="A14" s="204">
        <f t="shared" ref="A14:A42" si="0">A13+1</f>
        <v>3</v>
      </c>
      <c r="B14" s="204" t="s">
        <v>627</v>
      </c>
      <c r="C14" s="1141"/>
      <c r="D14" s="1142"/>
      <c r="E14" s="1141"/>
      <c r="F14" s="1142"/>
      <c r="G14" s="1141"/>
      <c r="H14" s="1142"/>
      <c r="I14" s="1141"/>
      <c r="J14" s="1142"/>
      <c r="K14" s="912"/>
    </row>
    <row r="15" spans="1:19">
      <c r="A15" s="204">
        <f t="shared" si="0"/>
        <v>4</v>
      </c>
      <c r="B15" s="204" t="s">
        <v>628</v>
      </c>
      <c r="C15" s="1143"/>
      <c r="D15" s="1144"/>
      <c r="E15" s="1143"/>
      <c r="F15" s="1144"/>
      <c r="G15" s="1143"/>
      <c r="H15" s="1144"/>
      <c r="I15" s="1143"/>
      <c r="J15" s="1144"/>
      <c r="K15" s="912"/>
    </row>
    <row r="16" spans="1:19">
      <c r="A16" s="204">
        <f t="shared" si="0"/>
        <v>5</v>
      </c>
      <c r="B16" s="204" t="s">
        <v>589</v>
      </c>
      <c r="C16" s="1139">
        <v>3557</v>
      </c>
      <c r="D16" s="1140">
        <v>2566.5</v>
      </c>
      <c r="E16" s="1139">
        <v>1545</v>
      </c>
      <c r="F16" s="1140">
        <v>1182.18</v>
      </c>
      <c r="G16" s="1139">
        <v>268</v>
      </c>
      <c r="H16" s="1140">
        <v>205.67</v>
      </c>
      <c r="I16" s="1139">
        <f>C16-E16-G16</f>
        <v>1744</v>
      </c>
      <c r="J16" s="1140">
        <f>D16-F16-H16</f>
        <v>1178.6499999999999</v>
      </c>
      <c r="K16" s="912"/>
    </row>
    <row r="17" spans="1:11">
      <c r="A17" s="204">
        <f t="shared" si="0"/>
        <v>6</v>
      </c>
      <c r="B17" s="204" t="s">
        <v>596</v>
      </c>
      <c r="C17" s="1143"/>
      <c r="D17" s="1144"/>
      <c r="E17" s="1143"/>
      <c r="F17" s="1144"/>
      <c r="G17" s="1143"/>
      <c r="H17" s="1144"/>
      <c r="I17" s="1143"/>
      <c r="J17" s="1144"/>
      <c r="K17" s="912"/>
    </row>
    <row r="18" spans="1:11">
      <c r="A18" s="204">
        <f t="shared" si="0"/>
        <v>7</v>
      </c>
      <c r="B18" s="204" t="s">
        <v>625</v>
      </c>
      <c r="C18" s="645">
        <v>0</v>
      </c>
      <c r="D18" s="663">
        <v>0</v>
      </c>
      <c r="E18" s="645">
        <v>0</v>
      </c>
      <c r="F18" s="645">
        <v>0</v>
      </c>
      <c r="G18" s="645">
        <v>0</v>
      </c>
      <c r="H18" s="645">
        <v>0</v>
      </c>
      <c r="I18" s="645">
        <v>0</v>
      </c>
      <c r="J18" s="645">
        <v>0</v>
      </c>
      <c r="K18" s="912"/>
    </row>
    <row r="19" spans="1:11">
      <c r="A19" s="204">
        <f t="shared" si="0"/>
        <v>8</v>
      </c>
      <c r="B19" s="204" t="s">
        <v>595</v>
      </c>
      <c r="C19" s="1139">
        <v>2535</v>
      </c>
      <c r="D19" s="1140">
        <v>2053.5</v>
      </c>
      <c r="E19" s="1139">
        <v>1965</v>
      </c>
      <c r="F19" s="1140">
        <v>1503.55</v>
      </c>
      <c r="G19" s="1139">
        <v>202</v>
      </c>
      <c r="H19" s="1140">
        <v>155.02000000000001</v>
      </c>
      <c r="I19" s="1139">
        <f>C19-E19-G19</f>
        <v>368</v>
      </c>
      <c r="J19" s="1140">
        <f>D19-F19-H19</f>
        <v>394.93000000000006</v>
      </c>
      <c r="K19" s="912"/>
    </row>
    <row r="20" spans="1:11">
      <c r="A20" s="204">
        <f t="shared" si="0"/>
        <v>9</v>
      </c>
      <c r="B20" s="204" t="s">
        <v>590</v>
      </c>
      <c r="C20" s="1141"/>
      <c r="D20" s="1142"/>
      <c r="E20" s="1141"/>
      <c r="F20" s="1142"/>
      <c r="G20" s="1141"/>
      <c r="H20" s="1142"/>
      <c r="I20" s="1141"/>
      <c r="J20" s="1142"/>
      <c r="K20" s="912"/>
    </row>
    <row r="21" spans="1:11">
      <c r="A21" s="204">
        <f t="shared" si="0"/>
        <v>10</v>
      </c>
      <c r="B21" s="204" t="s">
        <v>604</v>
      </c>
      <c r="C21" s="1141"/>
      <c r="D21" s="1142"/>
      <c r="E21" s="1141"/>
      <c r="F21" s="1142"/>
      <c r="G21" s="1141"/>
      <c r="H21" s="1142"/>
      <c r="I21" s="1141"/>
      <c r="J21" s="1142"/>
      <c r="K21" s="912"/>
    </row>
    <row r="22" spans="1:11">
      <c r="A22" s="204">
        <f t="shared" si="0"/>
        <v>11</v>
      </c>
      <c r="B22" s="204" t="s">
        <v>605</v>
      </c>
      <c r="C22" s="1143"/>
      <c r="D22" s="1144"/>
      <c r="E22" s="1143"/>
      <c r="F22" s="1144"/>
      <c r="G22" s="1143"/>
      <c r="H22" s="1144"/>
      <c r="I22" s="1143"/>
      <c r="J22" s="1144"/>
      <c r="K22" s="912"/>
    </row>
    <row r="23" spans="1:11">
      <c r="A23" s="204">
        <f t="shared" si="0"/>
        <v>12</v>
      </c>
      <c r="B23" s="545" t="s">
        <v>613</v>
      </c>
      <c r="C23" s="1139">
        <v>3861</v>
      </c>
      <c r="D23" s="1140">
        <v>2882.55</v>
      </c>
      <c r="E23" s="1139">
        <v>2169</v>
      </c>
      <c r="F23" s="1140">
        <v>1659.65</v>
      </c>
      <c r="G23" s="1139">
        <v>502</v>
      </c>
      <c r="H23" s="1140">
        <v>385.24</v>
      </c>
      <c r="I23" s="1139">
        <f>C23-E23-G23</f>
        <v>1190</v>
      </c>
      <c r="J23" s="1140">
        <f>D23-F23-H23</f>
        <v>837.66000000000008</v>
      </c>
      <c r="K23" s="912"/>
    </row>
    <row r="24" spans="1:11">
      <c r="A24" s="204">
        <f t="shared" si="0"/>
        <v>13</v>
      </c>
      <c r="B24" s="545" t="s">
        <v>612</v>
      </c>
      <c r="C24" s="1141"/>
      <c r="D24" s="1142"/>
      <c r="E24" s="1141"/>
      <c r="F24" s="1142"/>
      <c r="G24" s="1141"/>
      <c r="H24" s="1142"/>
      <c r="I24" s="1141"/>
      <c r="J24" s="1142"/>
      <c r="K24" s="912"/>
    </row>
    <row r="25" spans="1:11">
      <c r="A25" s="204">
        <f t="shared" si="0"/>
        <v>14</v>
      </c>
      <c r="B25" s="204" t="s">
        <v>591</v>
      </c>
      <c r="C25" s="1141"/>
      <c r="D25" s="1142"/>
      <c r="E25" s="1141"/>
      <c r="F25" s="1142"/>
      <c r="G25" s="1141"/>
      <c r="H25" s="1142"/>
      <c r="I25" s="1141"/>
      <c r="J25" s="1142"/>
      <c r="K25" s="912"/>
    </row>
    <row r="26" spans="1:11">
      <c r="A26" s="204">
        <f t="shared" si="0"/>
        <v>15</v>
      </c>
      <c r="B26" s="204" t="s">
        <v>592</v>
      </c>
      <c r="C26" s="1141"/>
      <c r="D26" s="1142"/>
      <c r="E26" s="1141"/>
      <c r="F26" s="1142"/>
      <c r="G26" s="1141"/>
      <c r="H26" s="1142"/>
      <c r="I26" s="1141"/>
      <c r="J26" s="1142"/>
      <c r="K26" s="912"/>
    </row>
    <row r="27" spans="1:11">
      <c r="A27" s="204">
        <f t="shared" si="0"/>
        <v>16</v>
      </c>
      <c r="B27" s="204" t="s">
        <v>597</v>
      </c>
      <c r="C27" s="1143"/>
      <c r="D27" s="1144"/>
      <c r="E27" s="1143"/>
      <c r="F27" s="1144"/>
      <c r="G27" s="1143"/>
      <c r="H27" s="1144"/>
      <c r="I27" s="1143"/>
      <c r="J27" s="1144"/>
      <c r="K27" s="912"/>
    </row>
    <row r="28" spans="1:11" s="527" customFormat="1">
      <c r="A28" s="204">
        <f t="shared" si="0"/>
        <v>17</v>
      </c>
      <c r="B28" s="204" t="s">
        <v>603</v>
      </c>
      <c r="C28" s="1139">
        <v>2341</v>
      </c>
      <c r="D28" s="1140">
        <v>1857.6</v>
      </c>
      <c r="E28" s="1139">
        <v>1915</v>
      </c>
      <c r="F28" s="1140">
        <v>1465.3</v>
      </c>
      <c r="G28" s="1139">
        <v>70</v>
      </c>
      <c r="H28" s="1140">
        <v>53.72</v>
      </c>
      <c r="I28" s="1139">
        <f>C28-E28-G28</f>
        <v>356</v>
      </c>
      <c r="J28" s="1140">
        <f>D28-F28-H28</f>
        <v>338.57999999999993</v>
      </c>
      <c r="K28" s="912"/>
    </row>
    <row r="29" spans="1:11">
      <c r="A29" s="204">
        <f t="shared" si="0"/>
        <v>18</v>
      </c>
      <c r="B29" s="204" t="s">
        <v>594</v>
      </c>
      <c r="C29" s="1143"/>
      <c r="D29" s="1144"/>
      <c r="E29" s="1143"/>
      <c r="F29" s="1144"/>
      <c r="G29" s="1143"/>
      <c r="H29" s="1144"/>
      <c r="I29" s="1143"/>
      <c r="J29" s="1144"/>
      <c r="K29" s="912"/>
    </row>
    <row r="30" spans="1:11">
      <c r="A30" s="204">
        <f t="shared" si="0"/>
        <v>19</v>
      </c>
      <c r="B30" s="204" t="s">
        <v>598</v>
      </c>
      <c r="C30" s="1139">
        <v>4082</v>
      </c>
      <c r="D30" s="1140">
        <v>3376.2750000000001</v>
      </c>
      <c r="E30" s="1139">
        <v>2397</v>
      </c>
      <c r="F30" s="1140">
        <v>1834.11</v>
      </c>
      <c r="G30" s="1139">
        <v>325</v>
      </c>
      <c r="H30" s="1140">
        <v>249.41</v>
      </c>
      <c r="I30" s="1139">
        <f>C30-E30-G30</f>
        <v>1360</v>
      </c>
      <c r="J30" s="1140">
        <f>D30-F30-H30</f>
        <v>1292.7550000000001</v>
      </c>
      <c r="K30" s="912"/>
    </row>
    <row r="31" spans="1:11" s="527" customFormat="1">
      <c r="A31" s="204">
        <f t="shared" si="0"/>
        <v>20</v>
      </c>
      <c r="B31" s="204" t="s">
        <v>593</v>
      </c>
      <c r="C31" s="1141"/>
      <c r="D31" s="1142"/>
      <c r="E31" s="1141"/>
      <c r="F31" s="1142"/>
      <c r="G31" s="1141"/>
      <c r="H31" s="1142"/>
      <c r="I31" s="1141"/>
      <c r="J31" s="1142"/>
      <c r="K31" s="912"/>
    </row>
    <row r="32" spans="1:11">
      <c r="A32" s="204">
        <f t="shared" si="0"/>
        <v>21</v>
      </c>
      <c r="B32" s="204" t="s">
        <v>601</v>
      </c>
      <c r="C32" s="1141"/>
      <c r="D32" s="1142"/>
      <c r="E32" s="1141"/>
      <c r="F32" s="1142"/>
      <c r="G32" s="1141"/>
      <c r="H32" s="1142"/>
      <c r="I32" s="1141"/>
      <c r="J32" s="1142"/>
      <c r="K32" s="912"/>
    </row>
    <row r="33" spans="1:11">
      <c r="A33" s="204">
        <f t="shared" si="0"/>
        <v>22</v>
      </c>
      <c r="B33" s="545" t="s">
        <v>611</v>
      </c>
      <c r="C33" s="1143"/>
      <c r="D33" s="1144"/>
      <c r="E33" s="1143"/>
      <c r="F33" s="1144"/>
      <c r="G33" s="1143"/>
      <c r="H33" s="1144"/>
      <c r="I33" s="1143"/>
      <c r="J33" s="1144"/>
      <c r="K33" s="912"/>
    </row>
    <row r="34" spans="1:11">
      <c r="A34" s="204">
        <f t="shared" si="0"/>
        <v>23</v>
      </c>
      <c r="B34" s="204" t="s">
        <v>607</v>
      </c>
      <c r="C34" s="1139">
        <v>3699</v>
      </c>
      <c r="D34" s="1140">
        <v>2964.15</v>
      </c>
      <c r="E34" s="1139">
        <v>2014</v>
      </c>
      <c r="F34" s="1140">
        <v>1541.05</v>
      </c>
      <c r="G34" s="1139">
        <v>774</v>
      </c>
      <c r="H34" s="1140">
        <v>593.98</v>
      </c>
      <c r="I34" s="1139">
        <f>C34-E34-G34</f>
        <v>911</v>
      </c>
      <c r="J34" s="1140">
        <f>D34-F34-H34</f>
        <v>829.12000000000012</v>
      </c>
      <c r="K34" s="912"/>
    </row>
    <row r="35" spans="1:11">
      <c r="A35" s="204">
        <f t="shared" si="0"/>
        <v>24</v>
      </c>
      <c r="B35" s="204" t="s">
        <v>599</v>
      </c>
      <c r="C35" s="1141"/>
      <c r="D35" s="1142"/>
      <c r="E35" s="1141"/>
      <c r="F35" s="1142"/>
      <c r="G35" s="1141"/>
      <c r="H35" s="1142"/>
      <c r="I35" s="1141"/>
      <c r="J35" s="1142"/>
      <c r="K35" s="912"/>
    </row>
    <row r="36" spans="1:11">
      <c r="A36" s="204">
        <f t="shared" si="0"/>
        <v>25</v>
      </c>
      <c r="B36" s="204" t="s">
        <v>608</v>
      </c>
      <c r="C36" s="1143"/>
      <c r="D36" s="1144"/>
      <c r="E36" s="1143"/>
      <c r="F36" s="1144"/>
      <c r="G36" s="1143"/>
      <c r="H36" s="1144"/>
      <c r="I36" s="1143"/>
      <c r="J36" s="1144"/>
      <c r="K36" s="912"/>
    </row>
    <row r="37" spans="1:11">
      <c r="A37" s="204">
        <f t="shared" si="0"/>
        <v>26</v>
      </c>
      <c r="B37" s="204" t="s">
        <v>606</v>
      </c>
      <c r="C37" s="1139">
        <v>3175</v>
      </c>
      <c r="D37" s="1140">
        <v>2489.6999999999998</v>
      </c>
      <c r="E37" s="1139">
        <v>1816</v>
      </c>
      <c r="F37" s="1140">
        <v>1389.54</v>
      </c>
      <c r="G37" s="1139">
        <v>457</v>
      </c>
      <c r="H37" s="1140">
        <v>350.71</v>
      </c>
      <c r="I37" s="1139">
        <f>C37-E37-G37</f>
        <v>902</v>
      </c>
      <c r="J37" s="1140">
        <f>D37-F37-H37</f>
        <v>749.44999999999982</v>
      </c>
      <c r="K37" s="912"/>
    </row>
    <row r="38" spans="1:11">
      <c r="A38" s="204">
        <f t="shared" si="0"/>
        <v>27</v>
      </c>
      <c r="B38" s="204" t="s">
        <v>600</v>
      </c>
      <c r="C38" s="1141"/>
      <c r="D38" s="1142"/>
      <c r="E38" s="1141"/>
      <c r="F38" s="1142"/>
      <c r="G38" s="1141"/>
      <c r="H38" s="1142"/>
      <c r="I38" s="1141"/>
      <c r="J38" s="1142"/>
      <c r="K38" s="912"/>
    </row>
    <row r="39" spans="1:11">
      <c r="A39" s="204">
        <f t="shared" si="0"/>
        <v>28</v>
      </c>
      <c r="B39" s="204" t="s">
        <v>610</v>
      </c>
      <c r="C39" s="1143"/>
      <c r="D39" s="1144"/>
      <c r="E39" s="1143"/>
      <c r="F39" s="1144"/>
      <c r="G39" s="1143"/>
      <c r="H39" s="1144"/>
      <c r="I39" s="1143"/>
      <c r="J39" s="1144"/>
      <c r="K39" s="912"/>
    </row>
    <row r="40" spans="1:11">
      <c r="A40" s="204">
        <f t="shared" si="0"/>
        <v>29</v>
      </c>
      <c r="B40" s="204" t="s">
        <v>602</v>
      </c>
      <c r="C40" s="1139">
        <v>3952</v>
      </c>
      <c r="D40" s="1140">
        <v>3036.15</v>
      </c>
      <c r="E40" s="1139">
        <v>2243</v>
      </c>
      <c r="F40" s="1140">
        <v>1716.27</v>
      </c>
      <c r="G40" s="1139">
        <v>387</v>
      </c>
      <c r="H40" s="1140">
        <v>296.98</v>
      </c>
      <c r="I40" s="1139">
        <f>C40-E40-G40</f>
        <v>1322</v>
      </c>
      <c r="J40" s="1140">
        <f>D40-F40-H40</f>
        <v>1022.9000000000001</v>
      </c>
      <c r="K40" s="912"/>
    </row>
    <row r="41" spans="1:11">
      <c r="A41" s="204">
        <f t="shared" si="0"/>
        <v>30</v>
      </c>
      <c r="B41" s="204" t="s">
        <v>609</v>
      </c>
      <c r="C41" s="1141"/>
      <c r="D41" s="1142"/>
      <c r="E41" s="1141"/>
      <c r="F41" s="1142"/>
      <c r="G41" s="1141"/>
      <c r="H41" s="1142"/>
      <c r="I41" s="1141"/>
      <c r="J41" s="1142"/>
      <c r="K41" s="912"/>
    </row>
    <row r="42" spans="1:11">
      <c r="A42" s="204">
        <f t="shared" si="0"/>
        <v>31</v>
      </c>
      <c r="B42" s="545" t="s">
        <v>614</v>
      </c>
      <c r="C42" s="1143"/>
      <c r="D42" s="1144"/>
      <c r="E42" s="1143"/>
      <c r="F42" s="1144"/>
      <c r="G42" s="1143"/>
      <c r="H42" s="1144"/>
      <c r="I42" s="1143"/>
      <c r="J42" s="1144"/>
      <c r="K42" s="912"/>
    </row>
    <row r="43" spans="1:11" s="10" customFormat="1">
      <c r="A43" s="626"/>
      <c r="B43" s="626" t="s">
        <v>615</v>
      </c>
      <c r="C43" s="1145">
        <f t="shared" ref="C43:H43" si="1">SUM(C12:C42)</f>
        <v>30408</v>
      </c>
      <c r="D43" s="1146">
        <f t="shared" si="1"/>
        <v>23649.150000000005</v>
      </c>
      <c r="E43" s="1145">
        <f t="shared" si="1"/>
        <v>17483</v>
      </c>
      <c r="F43" s="1145">
        <f t="shared" si="1"/>
        <v>13377.419999999998</v>
      </c>
      <c r="G43" s="1145">
        <f t="shared" si="1"/>
        <v>3698</v>
      </c>
      <c r="H43" s="1145">
        <f t="shared" si="1"/>
        <v>2837.89</v>
      </c>
      <c r="I43" s="1145">
        <v>9227</v>
      </c>
      <c r="J43" s="1145">
        <f>SUM(J12:J42)</f>
        <v>7433.84</v>
      </c>
      <c r="K43" s="913"/>
    </row>
    <row r="44" spans="1:11" s="10" customFormat="1">
      <c r="A44" s="642"/>
      <c r="B44" s="642"/>
      <c r="C44" s="627"/>
      <c r="D44" s="643"/>
      <c r="E44" s="627"/>
      <c r="F44" s="627"/>
      <c r="G44" s="627"/>
      <c r="H44" s="627"/>
      <c r="I44" s="627"/>
      <c r="J44" s="627"/>
      <c r="K44" s="644"/>
    </row>
    <row r="45" spans="1:11" s="10" customFormat="1">
      <c r="A45" s="9" t="s">
        <v>37</v>
      </c>
    </row>
    <row r="46" spans="1:11" s="10" customFormat="1">
      <c r="A46" s="9"/>
    </row>
    <row r="47" spans="1:11">
      <c r="A47" s="5"/>
    </row>
    <row r="48" spans="1:11">
      <c r="A48" s="797"/>
      <c r="B48" s="797"/>
      <c r="C48" s="797"/>
      <c r="D48" s="797"/>
      <c r="E48" s="797"/>
      <c r="F48" s="797"/>
      <c r="G48" s="797"/>
      <c r="H48" s="797"/>
      <c r="I48" s="797"/>
      <c r="J48" s="797"/>
    </row>
    <row r="49" spans="8:11" ht="15.75">
      <c r="H49" s="761" t="s">
        <v>908</v>
      </c>
      <c r="I49" s="761"/>
      <c r="J49" s="761"/>
      <c r="K49" s="761"/>
    </row>
    <row r="50" spans="8:11" ht="15.75">
      <c r="H50" s="761" t="s">
        <v>646</v>
      </c>
      <c r="I50" s="761"/>
      <c r="J50" s="761"/>
      <c r="K50" s="761"/>
    </row>
  </sheetData>
  <mergeCells count="92">
    <mergeCell ref="J34:J36"/>
    <mergeCell ref="I37:I39"/>
    <mergeCell ref="J37:J39"/>
    <mergeCell ref="I40:I42"/>
    <mergeCell ref="J40:J42"/>
    <mergeCell ref="J23:J27"/>
    <mergeCell ref="I28:I29"/>
    <mergeCell ref="J28:J29"/>
    <mergeCell ref="I30:I33"/>
    <mergeCell ref="J30:J33"/>
    <mergeCell ref="J12:J15"/>
    <mergeCell ref="I16:I17"/>
    <mergeCell ref="J16:J17"/>
    <mergeCell ref="I19:I22"/>
    <mergeCell ref="J19:J22"/>
    <mergeCell ref="H30:H33"/>
    <mergeCell ref="H34:H36"/>
    <mergeCell ref="H37:H39"/>
    <mergeCell ref="H40:H42"/>
    <mergeCell ref="I12:I15"/>
    <mergeCell ref="I23:I27"/>
    <mergeCell ref="I34:I36"/>
    <mergeCell ref="H12:H15"/>
    <mergeCell ref="H16:H17"/>
    <mergeCell ref="H19:H22"/>
    <mergeCell ref="H23:H27"/>
    <mergeCell ref="H28:H29"/>
    <mergeCell ref="F23:F27"/>
    <mergeCell ref="F19:F22"/>
    <mergeCell ref="F16:F17"/>
    <mergeCell ref="F12:F15"/>
    <mergeCell ref="G40:G42"/>
    <mergeCell ref="G37:G39"/>
    <mergeCell ref="G34:G36"/>
    <mergeCell ref="G30:G33"/>
    <mergeCell ref="G28:G29"/>
    <mergeCell ref="G23:G27"/>
    <mergeCell ref="G19:G22"/>
    <mergeCell ref="G16:G17"/>
    <mergeCell ref="G12:G15"/>
    <mergeCell ref="F40:F42"/>
    <mergeCell ref="F37:F39"/>
    <mergeCell ref="F34:F36"/>
    <mergeCell ref="F30:F33"/>
    <mergeCell ref="F28:F29"/>
    <mergeCell ref="C37:C39"/>
    <mergeCell ref="D37:D39"/>
    <mergeCell ref="D40:D42"/>
    <mergeCell ref="C40:C42"/>
    <mergeCell ref="E12:E15"/>
    <mergeCell ref="E16:E17"/>
    <mergeCell ref="E40:E42"/>
    <mergeCell ref="E37:E39"/>
    <mergeCell ref="E34:E36"/>
    <mergeCell ref="E30:E33"/>
    <mergeCell ref="E28:E29"/>
    <mergeCell ref="E23:E27"/>
    <mergeCell ref="E19:E22"/>
    <mergeCell ref="D28:D29"/>
    <mergeCell ref="C30:C33"/>
    <mergeCell ref="D30:D33"/>
    <mergeCell ref="D34:D36"/>
    <mergeCell ref="C34:C36"/>
    <mergeCell ref="H49:K49"/>
    <mergeCell ref="H50:K50"/>
    <mergeCell ref="A48:J48"/>
    <mergeCell ref="E9:F9"/>
    <mergeCell ref="C9:D9"/>
    <mergeCell ref="B9:B10"/>
    <mergeCell ref="K12:K43"/>
    <mergeCell ref="C12:C15"/>
    <mergeCell ref="D12:D15"/>
    <mergeCell ref="C16:C17"/>
    <mergeCell ref="D16:D17"/>
    <mergeCell ref="D19:D22"/>
    <mergeCell ref="C19:C22"/>
    <mergeCell ref="C23:C27"/>
    <mergeCell ref="D23:D27"/>
    <mergeCell ref="C28:C29"/>
    <mergeCell ref="I1:J1"/>
    <mergeCell ref="G9:H9"/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</mergeCells>
  <phoneticPr fontId="0" type="noConversion"/>
  <printOptions horizontalCentered="1"/>
  <pageMargins left="0.47" right="0.34" top="0.42" bottom="0" header="0.31496062992125984" footer="0.31496062992125984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view="pageBreakPreview" topLeftCell="A21" zoomScale="90" zoomScaleNormal="70" zoomScaleSheetLayoutView="90" workbookViewId="0">
      <selection activeCell="F19" sqref="F19:F22"/>
    </sheetView>
  </sheetViews>
  <sheetFormatPr defaultRowHeight="12.75"/>
  <cols>
    <col min="1" max="1" width="9.140625" style="173"/>
    <col min="2" max="2" width="19" style="173" customWidth="1"/>
    <col min="3" max="3" width="15.140625" style="173" customWidth="1"/>
    <col min="4" max="4" width="15.85546875" style="173" customWidth="1"/>
    <col min="5" max="5" width="9.85546875" style="173" customWidth="1"/>
    <col min="6" max="6" width="13.5703125" style="173" customWidth="1"/>
    <col min="7" max="7" width="9.7109375" style="173" customWidth="1"/>
    <col min="8" max="8" width="10.42578125" style="173" customWidth="1"/>
    <col min="9" max="9" width="15.28515625" style="173" customWidth="1"/>
    <col min="10" max="10" width="19.28515625" style="173" customWidth="1"/>
    <col min="11" max="11" width="15" style="173" customWidth="1"/>
    <col min="12" max="16384" width="9.140625" style="173"/>
  </cols>
  <sheetData>
    <row r="1" spans="1:19" ht="22.9" customHeight="1">
      <c r="D1" s="700"/>
      <c r="E1" s="700"/>
      <c r="H1" s="25"/>
      <c r="J1" s="794" t="s">
        <v>65</v>
      </c>
      <c r="K1" s="794"/>
    </row>
    <row r="2" spans="1:19" ht="15">
      <c r="A2" s="872" t="s">
        <v>0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9" ht="18">
      <c r="A3" s="807" t="s">
        <v>737</v>
      </c>
      <c r="B3" s="807"/>
      <c r="C3" s="807"/>
      <c r="D3" s="807"/>
      <c r="E3" s="807"/>
      <c r="F3" s="807"/>
      <c r="G3" s="807"/>
      <c r="H3" s="807"/>
      <c r="I3" s="807"/>
      <c r="J3" s="807"/>
    </row>
    <row r="4" spans="1:19" ht="10.5" customHeight="1"/>
    <row r="5" spans="1:19" ht="33.75" customHeight="1">
      <c r="A5" s="916" t="s">
        <v>429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451"/>
    </row>
    <row r="6" spans="1:19" ht="15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9">
      <c r="A7" s="699" t="s">
        <v>658</v>
      </c>
      <c r="B7" s="699"/>
      <c r="I7" s="864" t="s">
        <v>808</v>
      </c>
      <c r="J7" s="864"/>
      <c r="K7" s="864"/>
    </row>
    <row r="8" spans="1:19" s="4" customFormat="1" ht="15.75" hidden="1">
      <c r="C8" s="872" t="s">
        <v>13</v>
      </c>
      <c r="D8" s="872"/>
      <c r="E8" s="872"/>
      <c r="F8" s="872"/>
      <c r="G8" s="872"/>
      <c r="H8" s="872"/>
      <c r="I8" s="872"/>
      <c r="J8" s="872"/>
    </row>
    <row r="9" spans="1:19" ht="30" customHeight="1">
      <c r="A9" s="795" t="s">
        <v>20</v>
      </c>
      <c r="B9" s="795" t="s">
        <v>33</v>
      </c>
      <c r="C9" s="677" t="s">
        <v>829</v>
      </c>
      <c r="D9" s="679"/>
      <c r="E9" s="677" t="s">
        <v>470</v>
      </c>
      <c r="F9" s="679"/>
      <c r="G9" s="677" t="s">
        <v>35</v>
      </c>
      <c r="H9" s="679"/>
      <c r="I9" s="668" t="s">
        <v>100</v>
      </c>
      <c r="J9" s="668"/>
      <c r="K9" s="795" t="s">
        <v>235</v>
      </c>
      <c r="R9" s="8"/>
      <c r="S9" s="10"/>
    </row>
    <row r="10" spans="1:19" s="5" customFormat="1" ht="46.5" customHeight="1">
      <c r="A10" s="796"/>
      <c r="B10" s="796"/>
      <c r="C10" s="442" t="s">
        <v>36</v>
      </c>
      <c r="D10" s="442" t="s">
        <v>714</v>
      </c>
      <c r="E10" s="442" t="s">
        <v>36</v>
      </c>
      <c r="F10" s="442" t="s">
        <v>714</v>
      </c>
      <c r="G10" s="442" t="s">
        <v>36</v>
      </c>
      <c r="H10" s="442" t="s">
        <v>714</v>
      </c>
      <c r="I10" s="442" t="s">
        <v>132</v>
      </c>
      <c r="J10" s="442" t="s">
        <v>133</v>
      </c>
      <c r="K10" s="796"/>
    </row>
    <row r="11" spans="1:19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43">
        <v>7</v>
      </c>
      <c r="H11" s="143">
        <v>8</v>
      </c>
      <c r="I11" s="143">
        <v>9</v>
      </c>
      <c r="J11" s="143">
        <v>10</v>
      </c>
      <c r="K11" s="143">
        <v>11</v>
      </c>
    </row>
    <row r="12" spans="1:19" s="628" customFormat="1" ht="12.75" customHeight="1">
      <c r="A12" s="204">
        <v>1</v>
      </c>
      <c r="B12" s="204" t="s">
        <v>624</v>
      </c>
      <c r="C12" s="1139">
        <v>5178</v>
      </c>
      <c r="D12" s="1140">
        <v>258.89</v>
      </c>
      <c r="E12" s="1139">
        <v>5178</v>
      </c>
      <c r="F12" s="1140">
        <v>258.89</v>
      </c>
      <c r="G12" s="514">
        <v>0</v>
      </c>
      <c r="H12" s="514">
        <v>0</v>
      </c>
      <c r="I12" s="626" t="s">
        <v>7</v>
      </c>
      <c r="J12" s="626" t="s">
        <v>7</v>
      </c>
      <c r="K12" s="514"/>
    </row>
    <row r="13" spans="1:19" s="628" customFormat="1" ht="12.75" customHeight="1">
      <c r="A13" s="204">
        <v>2</v>
      </c>
      <c r="B13" s="204" t="s">
        <v>626</v>
      </c>
      <c r="C13" s="1141"/>
      <c r="D13" s="1142"/>
      <c r="E13" s="1141"/>
      <c r="F13" s="1142"/>
      <c r="G13" s="514">
        <v>0</v>
      </c>
      <c r="H13" s="514">
        <v>0</v>
      </c>
      <c r="I13" s="626" t="s">
        <v>7</v>
      </c>
      <c r="J13" s="626" t="s">
        <v>7</v>
      </c>
      <c r="K13" s="514"/>
    </row>
    <row r="14" spans="1:19" s="628" customFormat="1" ht="12.75" customHeight="1">
      <c r="A14" s="204">
        <f>A13+1</f>
        <v>3</v>
      </c>
      <c r="B14" s="204" t="s">
        <v>627</v>
      </c>
      <c r="C14" s="1141"/>
      <c r="D14" s="1142"/>
      <c r="E14" s="1141"/>
      <c r="F14" s="1142"/>
      <c r="G14" s="514">
        <v>0</v>
      </c>
      <c r="H14" s="514">
        <v>0</v>
      </c>
      <c r="I14" s="626" t="s">
        <v>7</v>
      </c>
      <c r="J14" s="626" t="s">
        <v>7</v>
      </c>
      <c r="K14" s="514"/>
    </row>
    <row r="15" spans="1:19" s="628" customFormat="1" ht="12.75" customHeight="1">
      <c r="A15" s="204">
        <f t="shared" ref="A15:A44" si="0">A14+1</f>
        <v>4</v>
      </c>
      <c r="B15" s="204" t="s">
        <v>628</v>
      </c>
      <c r="C15" s="1143"/>
      <c r="D15" s="1144"/>
      <c r="E15" s="1143"/>
      <c r="F15" s="1144"/>
      <c r="G15" s="514">
        <v>0</v>
      </c>
      <c r="H15" s="514">
        <v>0</v>
      </c>
      <c r="I15" s="626" t="s">
        <v>7</v>
      </c>
      <c r="J15" s="626" t="s">
        <v>7</v>
      </c>
      <c r="K15" s="514"/>
    </row>
    <row r="16" spans="1:19" s="628" customFormat="1" ht="12.75" customHeight="1">
      <c r="A16" s="204">
        <f t="shared" si="0"/>
        <v>5</v>
      </c>
      <c r="B16" s="204" t="s">
        <v>589</v>
      </c>
      <c r="C16" s="1139">
        <v>2574</v>
      </c>
      <c r="D16" s="1140">
        <v>128.71</v>
      </c>
      <c r="E16" s="1139">
        <v>2574</v>
      </c>
      <c r="F16" s="1140">
        <v>128.71</v>
      </c>
      <c r="G16" s="514">
        <v>0</v>
      </c>
      <c r="H16" s="514">
        <v>0</v>
      </c>
      <c r="I16" s="626" t="s">
        <v>7</v>
      </c>
      <c r="J16" s="626" t="s">
        <v>7</v>
      </c>
      <c r="K16" s="514"/>
    </row>
    <row r="17" spans="1:11" s="628" customFormat="1" ht="12.75" customHeight="1">
      <c r="A17" s="204">
        <f t="shared" si="0"/>
        <v>6</v>
      </c>
      <c r="B17" s="204" t="s">
        <v>596</v>
      </c>
      <c r="C17" s="1143"/>
      <c r="D17" s="1144"/>
      <c r="E17" s="1143"/>
      <c r="F17" s="1144"/>
      <c r="G17" s="514">
        <v>0</v>
      </c>
      <c r="H17" s="514">
        <v>0</v>
      </c>
      <c r="I17" s="626" t="s">
        <v>7</v>
      </c>
      <c r="J17" s="626" t="s">
        <v>7</v>
      </c>
      <c r="K17" s="514"/>
    </row>
    <row r="18" spans="1:11" s="628" customFormat="1" ht="12.75" customHeight="1">
      <c r="A18" s="204">
        <f t="shared" si="0"/>
        <v>7</v>
      </c>
      <c r="B18" s="204" t="s">
        <v>625</v>
      </c>
      <c r="C18" s="645">
        <v>509</v>
      </c>
      <c r="D18" s="663">
        <v>25.47</v>
      </c>
      <c r="E18" s="645">
        <v>509</v>
      </c>
      <c r="F18" s="663">
        <v>25.47</v>
      </c>
      <c r="G18" s="514">
        <v>0</v>
      </c>
      <c r="H18" s="514">
        <v>0</v>
      </c>
      <c r="I18" s="626" t="s">
        <v>7</v>
      </c>
      <c r="J18" s="626" t="s">
        <v>7</v>
      </c>
      <c r="K18" s="514"/>
    </row>
    <row r="19" spans="1:11" s="628" customFormat="1" ht="12.75" customHeight="1">
      <c r="A19" s="204">
        <f t="shared" si="0"/>
        <v>8</v>
      </c>
      <c r="B19" s="204" t="s">
        <v>595</v>
      </c>
      <c r="C19" s="1139">
        <v>3637</v>
      </c>
      <c r="D19" s="1140">
        <v>181.85</v>
      </c>
      <c r="E19" s="1139">
        <v>3637</v>
      </c>
      <c r="F19" s="1140">
        <v>181.85</v>
      </c>
      <c r="G19" s="514">
        <v>0</v>
      </c>
      <c r="H19" s="514">
        <v>0</v>
      </c>
      <c r="I19" s="626" t="s">
        <v>7</v>
      </c>
      <c r="J19" s="626" t="s">
        <v>7</v>
      </c>
      <c r="K19" s="514"/>
    </row>
    <row r="20" spans="1:11" s="628" customFormat="1" ht="12.75" customHeight="1">
      <c r="A20" s="204">
        <f t="shared" si="0"/>
        <v>9</v>
      </c>
      <c r="B20" s="204" t="s">
        <v>590</v>
      </c>
      <c r="C20" s="1141"/>
      <c r="D20" s="1142"/>
      <c r="E20" s="1141"/>
      <c r="F20" s="1142"/>
      <c r="G20" s="514">
        <v>0</v>
      </c>
      <c r="H20" s="514">
        <v>0</v>
      </c>
      <c r="I20" s="626" t="s">
        <v>7</v>
      </c>
      <c r="J20" s="626" t="s">
        <v>7</v>
      </c>
      <c r="K20" s="514"/>
    </row>
    <row r="21" spans="1:11" s="628" customFormat="1" ht="12.75" customHeight="1">
      <c r="A21" s="204">
        <f t="shared" si="0"/>
        <v>10</v>
      </c>
      <c r="B21" s="204" t="s">
        <v>604</v>
      </c>
      <c r="C21" s="1141"/>
      <c r="D21" s="1142"/>
      <c r="E21" s="1141"/>
      <c r="F21" s="1142"/>
      <c r="G21" s="514">
        <v>0</v>
      </c>
      <c r="H21" s="514">
        <v>0</v>
      </c>
      <c r="I21" s="626" t="s">
        <v>7</v>
      </c>
      <c r="J21" s="626" t="s">
        <v>7</v>
      </c>
      <c r="K21" s="514"/>
    </row>
    <row r="22" spans="1:11" s="628" customFormat="1" ht="12.75" customHeight="1">
      <c r="A22" s="204">
        <f t="shared" si="0"/>
        <v>11</v>
      </c>
      <c r="B22" s="204" t="s">
        <v>605</v>
      </c>
      <c r="C22" s="1143"/>
      <c r="D22" s="1144"/>
      <c r="E22" s="1143"/>
      <c r="F22" s="1144"/>
      <c r="G22" s="514">
        <v>0</v>
      </c>
      <c r="H22" s="514">
        <v>0</v>
      </c>
      <c r="I22" s="626" t="s">
        <v>7</v>
      </c>
      <c r="J22" s="626" t="s">
        <v>7</v>
      </c>
      <c r="K22" s="514"/>
    </row>
    <row r="23" spans="1:11" s="628" customFormat="1" ht="12.75" customHeight="1">
      <c r="A23" s="204">
        <f t="shared" si="0"/>
        <v>12</v>
      </c>
      <c r="B23" s="545" t="s">
        <v>613</v>
      </c>
      <c r="C23" s="1139">
        <v>3533</v>
      </c>
      <c r="D23" s="1140">
        <v>176.65</v>
      </c>
      <c r="E23" s="1139">
        <v>3533</v>
      </c>
      <c r="F23" s="1140">
        <v>176.65</v>
      </c>
      <c r="G23" s="514">
        <v>0</v>
      </c>
      <c r="H23" s="514">
        <v>0</v>
      </c>
      <c r="I23" s="626" t="s">
        <v>7</v>
      </c>
      <c r="J23" s="626" t="s">
        <v>7</v>
      </c>
      <c r="K23" s="514"/>
    </row>
    <row r="24" spans="1:11" s="628" customFormat="1" ht="12.75" customHeight="1">
      <c r="A24" s="204">
        <f t="shared" si="0"/>
        <v>13</v>
      </c>
      <c r="B24" s="545" t="s">
        <v>612</v>
      </c>
      <c r="C24" s="1141"/>
      <c r="D24" s="1142"/>
      <c r="E24" s="1141"/>
      <c r="F24" s="1142"/>
      <c r="G24" s="514">
        <v>0</v>
      </c>
      <c r="H24" s="514">
        <v>0</v>
      </c>
      <c r="I24" s="626" t="s">
        <v>7</v>
      </c>
      <c r="J24" s="626" t="s">
        <v>7</v>
      </c>
      <c r="K24" s="514"/>
    </row>
    <row r="25" spans="1:11" s="628" customFormat="1" ht="12.75" customHeight="1">
      <c r="A25" s="204">
        <f t="shared" si="0"/>
        <v>14</v>
      </c>
      <c r="B25" s="204" t="s">
        <v>591</v>
      </c>
      <c r="C25" s="1141"/>
      <c r="D25" s="1142"/>
      <c r="E25" s="1141"/>
      <c r="F25" s="1142"/>
      <c r="G25" s="514">
        <v>0</v>
      </c>
      <c r="H25" s="514">
        <v>0</v>
      </c>
      <c r="I25" s="626" t="s">
        <v>7</v>
      </c>
      <c r="J25" s="626" t="s">
        <v>7</v>
      </c>
      <c r="K25" s="514"/>
    </row>
    <row r="26" spans="1:11" s="628" customFormat="1" ht="12.75" customHeight="1">
      <c r="A26" s="204">
        <f t="shared" si="0"/>
        <v>15</v>
      </c>
      <c r="B26" s="204" t="s">
        <v>592</v>
      </c>
      <c r="C26" s="1141"/>
      <c r="D26" s="1142"/>
      <c r="E26" s="1141"/>
      <c r="F26" s="1142"/>
      <c r="G26" s="514">
        <v>0</v>
      </c>
      <c r="H26" s="514">
        <v>0</v>
      </c>
      <c r="I26" s="626" t="s">
        <v>7</v>
      </c>
      <c r="J26" s="626" t="s">
        <v>7</v>
      </c>
      <c r="K26" s="514"/>
    </row>
    <row r="27" spans="1:11" s="628" customFormat="1" ht="12.75" customHeight="1">
      <c r="A27" s="204">
        <f t="shared" si="0"/>
        <v>16</v>
      </c>
      <c r="B27" s="629" t="s">
        <v>684</v>
      </c>
      <c r="C27" s="1141"/>
      <c r="D27" s="1142"/>
      <c r="E27" s="1141"/>
      <c r="F27" s="1142"/>
      <c r="G27" s="514">
        <v>0</v>
      </c>
      <c r="H27" s="514">
        <v>0</v>
      </c>
      <c r="I27" s="626" t="s">
        <v>7</v>
      </c>
      <c r="J27" s="626" t="s">
        <v>7</v>
      </c>
      <c r="K27" s="514"/>
    </row>
    <row r="28" spans="1:11" s="628" customFormat="1" ht="12.75" customHeight="1">
      <c r="A28" s="204">
        <f t="shared" si="0"/>
        <v>17</v>
      </c>
      <c r="B28" s="204" t="s">
        <v>597</v>
      </c>
      <c r="C28" s="1143"/>
      <c r="D28" s="1144"/>
      <c r="E28" s="1143"/>
      <c r="F28" s="1144"/>
      <c r="G28" s="514">
        <v>0</v>
      </c>
      <c r="H28" s="514">
        <v>0</v>
      </c>
      <c r="I28" s="626" t="s">
        <v>7</v>
      </c>
      <c r="J28" s="626" t="s">
        <v>7</v>
      </c>
      <c r="K28" s="514"/>
    </row>
    <row r="29" spans="1:11" s="628" customFormat="1" ht="12.75" customHeight="1">
      <c r="A29" s="204">
        <f t="shared" si="0"/>
        <v>18</v>
      </c>
      <c r="B29" s="204" t="s">
        <v>603</v>
      </c>
      <c r="C29" s="1139">
        <v>2890</v>
      </c>
      <c r="D29" s="1140">
        <v>144.5</v>
      </c>
      <c r="E29" s="1139">
        <v>2890</v>
      </c>
      <c r="F29" s="1140">
        <v>144.5</v>
      </c>
      <c r="G29" s="514">
        <v>0</v>
      </c>
      <c r="H29" s="514">
        <v>0</v>
      </c>
      <c r="I29" s="626" t="s">
        <v>7</v>
      </c>
      <c r="J29" s="626" t="s">
        <v>7</v>
      </c>
      <c r="K29" s="514"/>
    </row>
    <row r="30" spans="1:11" s="628" customFormat="1" ht="12.75" customHeight="1">
      <c r="A30" s="204">
        <f t="shared" si="0"/>
        <v>19</v>
      </c>
      <c r="B30" s="204" t="s">
        <v>594</v>
      </c>
      <c r="C30" s="1143"/>
      <c r="D30" s="1144"/>
      <c r="E30" s="1143"/>
      <c r="F30" s="1144"/>
      <c r="G30" s="514">
        <v>0</v>
      </c>
      <c r="H30" s="514">
        <v>0</v>
      </c>
      <c r="I30" s="626" t="s">
        <v>7</v>
      </c>
      <c r="J30" s="626" t="s">
        <v>7</v>
      </c>
      <c r="K30" s="514"/>
    </row>
    <row r="31" spans="1:11" s="628" customFormat="1" ht="12.75" customHeight="1">
      <c r="A31" s="204">
        <f t="shared" si="0"/>
        <v>20</v>
      </c>
      <c r="B31" s="204" t="s">
        <v>598</v>
      </c>
      <c r="C31" s="1139">
        <v>5082</v>
      </c>
      <c r="D31" s="1140">
        <v>254.12</v>
      </c>
      <c r="E31" s="1139">
        <v>5082</v>
      </c>
      <c r="F31" s="1140">
        <v>254.12</v>
      </c>
      <c r="G31" s="514">
        <v>0</v>
      </c>
      <c r="H31" s="514">
        <v>0</v>
      </c>
      <c r="I31" s="626" t="s">
        <v>7</v>
      </c>
      <c r="J31" s="626" t="s">
        <v>7</v>
      </c>
      <c r="K31" s="514"/>
    </row>
    <row r="32" spans="1:11" s="628" customFormat="1" ht="12.75" customHeight="1">
      <c r="A32" s="204">
        <f t="shared" si="0"/>
        <v>21</v>
      </c>
      <c r="B32" s="629" t="s">
        <v>683</v>
      </c>
      <c r="C32" s="1141"/>
      <c r="D32" s="1142"/>
      <c r="E32" s="1141"/>
      <c r="F32" s="1142"/>
      <c r="G32" s="514">
        <v>0</v>
      </c>
      <c r="H32" s="514">
        <v>0</v>
      </c>
      <c r="I32" s="626" t="s">
        <v>7</v>
      </c>
      <c r="J32" s="626" t="s">
        <v>7</v>
      </c>
      <c r="K32" s="514"/>
    </row>
    <row r="33" spans="1:11" s="628" customFormat="1" ht="12.75" customHeight="1">
      <c r="A33" s="204">
        <f t="shared" si="0"/>
        <v>22</v>
      </c>
      <c r="B33" s="204" t="s">
        <v>593</v>
      </c>
      <c r="C33" s="1141"/>
      <c r="D33" s="1142"/>
      <c r="E33" s="1141"/>
      <c r="F33" s="1142"/>
      <c r="G33" s="514">
        <v>0</v>
      </c>
      <c r="H33" s="514">
        <v>0</v>
      </c>
      <c r="I33" s="626" t="s">
        <v>7</v>
      </c>
      <c r="J33" s="626" t="s">
        <v>7</v>
      </c>
      <c r="K33" s="514"/>
    </row>
    <row r="34" spans="1:11" s="628" customFormat="1" ht="12.75" customHeight="1">
      <c r="A34" s="204">
        <f t="shared" si="0"/>
        <v>23</v>
      </c>
      <c r="B34" s="204" t="s">
        <v>601</v>
      </c>
      <c r="C34" s="1141"/>
      <c r="D34" s="1142"/>
      <c r="E34" s="1141"/>
      <c r="F34" s="1142"/>
      <c r="G34" s="514">
        <v>0</v>
      </c>
      <c r="H34" s="514">
        <v>0</v>
      </c>
      <c r="I34" s="626" t="s">
        <v>7</v>
      </c>
      <c r="J34" s="626" t="s">
        <v>7</v>
      </c>
      <c r="K34" s="514"/>
    </row>
    <row r="35" spans="1:11" s="628" customFormat="1" ht="12.75" customHeight="1">
      <c r="A35" s="204">
        <f t="shared" si="0"/>
        <v>24</v>
      </c>
      <c r="B35" s="545" t="s">
        <v>611</v>
      </c>
      <c r="C35" s="1143"/>
      <c r="D35" s="1144"/>
      <c r="E35" s="1143"/>
      <c r="F35" s="1144"/>
      <c r="G35" s="514">
        <v>0</v>
      </c>
      <c r="H35" s="514">
        <v>0</v>
      </c>
      <c r="I35" s="626" t="s">
        <v>7</v>
      </c>
      <c r="J35" s="626" t="s">
        <v>7</v>
      </c>
      <c r="K35" s="514"/>
    </row>
    <row r="36" spans="1:11" s="628" customFormat="1" ht="12.75" customHeight="1">
      <c r="A36" s="204">
        <f t="shared" si="0"/>
        <v>25</v>
      </c>
      <c r="B36" s="204" t="s">
        <v>607</v>
      </c>
      <c r="C36" s="1139">
        <v>3343</v>
      </c>
      <c r="D36" s="1140">
        <v>167.16</v>
      </c>
      <c r="E36" s="1139">
        <v>3343</v>
      </c>
      <c r="F36" s="1140">
        <v>167.16</v>
      </c>
      <c r="G36" s="514">
        <v>0</v>
      </c>
      <c r="H36" s="514">
        <v>0</v>
      </c>
      <c r="I36" s="626" t="s">
        <v>7</v>
      </c>
      <c r="J36" s="626" t="s">
        <v>7</v>
      </c>
      <c r="K36" s="514"/>
    </row>
    <row r="37" spans="1:11" s="628" customFormat="1" ht="12.75" customHeight="1">
      <c r="A37" s="204">
        <f t="shared" si="0"/>
        <v>26</v>
      </c>
      <c r="B37" s="204" t="s">
        <v>599</v>
      </c>
      <c r="C37" s="1141"/>
      <c r="D37" s="1142"/>
      <c r="E37" s="1141"/>
      <c r="F37" s="1142"/>
      <c r="G37" s="514">
        <v>0</v>
      </c>
      <c r="H37" s="514">
        <v>0</v>
      </c>
      <c r="I37" s="626" t="s">
        <v>7</v>
      </c>
      <c r="J37" s="626" t="s">
        <v>7</v>
      </c>
      <c r="K37" s="514"/>
    </row>
    <row r="38" spans="1:11" s="628" customFormat="1" ht="12.75" customHeight="1">
      <c r="A38" s="204">
        <f t="shared" si="0"/>
        <v>27</v>
      </c>
      <c r="B38" s="204" t="s">
        <v>608</v>
      </c>
      <c r="C38" s="1143"/>
      <c r="D38" s="1144"/>
      <c r="E38" s="1143"/>
      <c r="F38" s="1144"/>
      <c r="G38" s="514">
        <v>0</v>
      </c>
      <c r="H38" s="514">
        <v>0</v>
      </c>
      <c r="I38" s="626" t="s">
        <v>7</v>
      </c>
      <c r="J38" s="626" t="s">
        <v>7</v>
      </c>
      <c r="K38" s="514"/>
    </row>
    <row r="39" spans="1:11" s="628" customFormat="1" ht="12.75" customHeight="1">
      <c r="A39" s="204">
        <f t="shared" si="0"/>
        <v>28</v>
      </c>
      <c r="B39" s="204" t="s">
        <v>606</v>
      </c>
      <c r="C39" s="1139">
        <v>2025</v>
      </c>
      <c r="D39" s="1140">
        <v>101.25</v>
      </c>
      <c r="E39" s="1139">
        <v>2025</v>
      </c>
      <c r="F39" s="1140">
        <v>101.25</v>
      </c>
      <c r="G39" s="514">
        <v>0</v>
      </c>
      <c r="H39" s="514">
        <v>0</v>
      </c>
      <c r="I39" s="626" t="s">
        <v>7</v>
      </c>
      <c r="J39" s="626" t="s">
        <v>7</v>
      </c>
      <c r="K39" s="514"/>
    </row>
    <row r="40" spans="1:11" s="628" customFormat="1" ht="12.75" customHeight="1">
      <c r="A40" s="204">
        <f t="shared" si="0"/>
        <v>29</v>
      </c>
      <c r="B40" s="204" t="s">
        <v>600</v>
      </c>
      <c r="C40" s="1141"/>
      <c r="D40" s="1142"/>
      <c r="E40" s="1141"/>
      <c r="F40" s="1142"/>
      <c r="G40" s="514">
        <v>0</v>
      </c>
      <c r="H40" s="514">
        <v>0</v>
      </c>
      <c r="I40" s="626" t="s">
        <v>7</v>
      </c>
      <c r="J40" s="626" t="s">
        <v>7</v>
      </c>
      <c r="K40" s="514"/>
    </row>
    <row r="41" spans="1:11" s="628" customFormat="1" ht="12.75" customHeight="1">
      <c r="A41" s="204">
        <f t="shared" si="0"/>
        <v>30</v>
      </c>
      <c r="B41" s="204" t="s">
        <v>610</v>
      </c>
      <c r="C41" s="1143"/>
      <c r="D41" s="1144"/>
      <c r="E41" s="1143"/>
      <c r="F41" s="1144"/>
      <c r="G41" s="514">
        <v>0</v>
      </c>
      <c r="H41" s="514">
        <v>0</v>
      </c>
      <c r="I41" s="626" t="s">
        <v>7</v>
      </c>
      <c r="J41" s="626" t="s">
        <v>7</v>
      </c>
      <c r="K41" s="514"/>
    </row>
    <row r="42" spans="1:11" s="628" customFormat="1" ht="12.75" customHeight="1">
      <c r="A42" s="204">
        <f t="shared" si="0"/>
        <v>31</v>
      </c>
      <c r="B42" s="204" t="s">
        <v>602</v>
      </c>
      <c r="C42" s="1139">
        <v>4221</v>
      </c>
      <c r="D42" s="1140">
        <v>211.05600000000001</v>
      </c>
      <c r="E42" s="1139">
        <v>4221</v>
      </c>
      <c r="F42" s="1140">
        <v>211.05600000000001</v>
      </c>
      <c r="G42" s="514">
        <v>0</v>
      </c>
      <c r="H42" s="514">
        <v>0</v>
      </c>
      <c r="I42" s="626" t="s">
        <v>7</v>
      </c>
      <c r="J42" s="626" t="s">
        <v>7</v>
      </c>
      <c r="K42" s="514"/>
    </row>
    <row r="43" spans="1:11" s="628" customFormat="1" ht="12.75" customHeight="1">
      <c r="A43" s="204">
        <f t="shared" si="0"/>
        <v>32</v>
      </c>
      <c r="B43" s="204" t="s">
        <v>609</v>
      </c>
      <c r="C43" s="1141"/>
      <c r="D43" s="1142"/>
      <c r="E43" s="1141"/>
      <c r="F43" s="1142"/>
      <c r="G43" s="514">
        <v>0</v>
      </c>
      <c r="H43" s="514">
        <v>0</v>
      </c>
      <c r="I43" s="626" t="s">
        <v>7</v>
      </c>
      <c r="J43" s="626" t="s">
        <v>7</v>
      </c>
      <c r="K43" s="514"/>
    </row>
    <row r="44" spans="1:11" s="10" customFormat="1" ht="12.75" customHeight="1">
      <c r="A44" s="204">
        <f t="shared" si="0"/>
        <v>33</v>
      </c>
      <c r="B44" s="545" t="s">
        <v>614</v>
      </c>
      <c r="C44" s="1143"/>
      <c r="D44" s="1144"/>
      <c r="E44" s="1143"/>
      <c r="F44" s="1144"/>
      <c r="G44" s="514">
        <v>0</v>
      </c>
      <c r="H44" s="514">
        <v>0</v>
      </c>
      <c r="I44" s="626" t="s">
        <v>7</v>
      </c>
      <c r="J44" s="626" t="s">
        <v>7</v>
      </c>
      <c r="K44" s="514"/>
    </row>
    <row r="45" spans="1:11" s="10" customFormat="1" ht="12.75" customHeight="1">
      <c r="A45" s="626"/>
      <c r="B45" s="626" t="s">
        <v>615</v>
      </c>
      <c r="C45" s="514">
        <f>SUM(C12:C44)</f>
        <v>32992</v>
      </c>
      <c r="D45" s="646">
        <f>SUM(D12:D44)</f>
        <v>1649.6560000000002</v>
      </c>
      <c r="E45" s="514">
        <f t="shared" ref="E45:K45" si="1">SUM(E12:E44)</f>
        <v>32992</v>
      </c>
      <c r="F45" s="646">
        <f t="shared" si="1"/>
        <v>1649.6560000000002</v>
      </c>
      <c r="G45" s="514">
        <f t="shared" si="1"/>
        <v>0</v>
      </c>
      <c r="H45" s="514">
        <f t="shared" si="1"/>
        <v>0</v>
      </c>
      <c r="I45" s="514">
        <f t="shared" si="1"/>
        <v>0</v>
      </c>
      <c r="J45" s="514">
        <f t="shared" si="1"/>
        <v>0</v>
      </c>
      <c r="K45" s="514">
        <f t="shared" si="1"/>
        <v>0</v>
      </c>
    </row>
    <row r="46" spans="1:11" s="10" customFormat="1"/>
    <row r="47" spans="1:11" s="10" customFormat="1">
      <c r="A47" s="9" t="s">
        <v>37</v>
      </c>
    </row>
    <row r="48" spans="1:11" ht="15.75" customHeight="1">
      <c r="C48" s="917"/>
      <c r="D48" s="917"/>
      <c r="E48" s="917"/>
      <c r="F48" s="917"/>
    </row>
    <row r="49" spans="1:11">
      <c r="A49" s="5"/>
    </row>
    <row r="50" spans="1:11" ht="15.75">
      <c r="H50" s="761" t="s">
        <v>908</v>
      </c>
      <c r="I50" s="761"/>
      <c r="J50" s="761"/>
      <c r="K50" s="761"/>
    </row>
    <row r="51" spans="1:11" ht="15.75">
      <c r="H51" s="761" t="s">
        <v>646</v>
      </c>
      <c r="I51" s="761"/>
      <c r="J51" s="761"/>
      <c r="K51" s="761"/>
    </row>
  </sheetData>
  <mergeCells count="54">
    <mergeCell ref="E36:E38"/>
    <mergeCell ref="F36:F38"/>
    <mergeCell ref="E39:E41"/>
    <mergeCell ref="F39:F41"/>
    <mergeCell ref="E42:E44"/>
    <mergeCell ref="F42:F44"/>
    <mergeCell ref="E23:E28"/>
    <mergeCell ref="F23:F28"/>
    <mergeCell ref="E29:E30"/>
    <mergeCell ref="F29:F30"/>
    <mergeCell ref="E31:E35"/>
    <mergeCell ref="F31:F35"/>
    <mergeCell ref="E12:E15"/>
    <mergeCell ref="F12:F15"/>
    <mergeCell ref="E16:E17"/>
    <mergeCell ref="F16:F17"/>
    <mergeCell ref="E19:E22"/>
    <mergeCell ref="F19:F22"/>
    <mergeCell ref="H50:K50"/>
    <mergeCell ref="H51:K51"/>
    <mergeCell ref="C8:J8"/>
    <mergeCell ref="A9:A10"/>
    <mergeCell ref="B9:B10"/>
    <mergeCell ref="E9:F9"/>
    <mergeCell ref="C48:F48"/>
    <mergeCell ref="C12:C15"/>
    <mergeCell ref="D12:D15"/>
    <mergeCell ref="C16:C17"/>
    <mergeCell ref="D16:D17"/>
    <mergeCell ref="C19:C22"/>
    <mergeCell ref="D19:D22"/>
    <mergeCell ref="C23:C28"/>
    <mergeCell ref="D23:D28"/>
    <mergeCell ref="C39:C41"/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K5"/>
    <mergeCell ref="D39:D41"/>
    <mergeCell ref="C42:C44"/>
    <mergeCell ref="D42:D44"/>
    <mergeCell ref="C29:C30"/>
    <mergeCell ref="D29:D30"/>
    <mergeCell ref="C31:C35"/>
    <mergeCell ref="D31:D35"/>
    <mergeCell ref="C36:C38"/>
    <mergeCell ref="D36:D38"/>
  </mergeCells>
  <phoneticPr fontId="0" type="noConversion"/>
  <printOptions horizontalCentered="1"/>
  <pageMargins left="0.70866141732283472" right="0.70866141732283472" top="0.45" bottom="0" header="0.31496062992125984" footer="0.31496062992125984"/>
  <pageSetup paperSize="9"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view="pageBreakPreview" zoomScale="90" zoomScaleNormal="70" zoomScaleSheetLayoutView="90" workbookViewId="0"/>
  </sheetViews>
  <sheetFormatPr defaultRowHeight="12.75"/>
  <cols>
    <col min="1" max="1" width="9.140625" style="173"/>
    <col min="2" max="2" width="19" style="173" customWidth="1"/>
    <col min="3" max="3" width="16.28515625" style="173" customWidth="1"/>
    <col min="4" max="4" width="15.85546875" style="173" customWidth="1"/>
    <col min="5" max="5" width="9.28515625" style="173" customWidth="1"/>
    <col min="6" max="6" width="13.5703125" style="173" customWidth="1"/>
    <col min="7" max="7" width="9.7109375" style="173" customWidth="1"/>
    <col min="8" max="8" width="10.42578125" style="173" customWidth="1"/>
    <col min="9" max="9" width="15.28515625" style="173" customWidth="1"/>
    <col min="10" max="10" width="19.28515625" style="173" customWidth="1"/>
    <col min="11" max="11" width="15" style="173" customWidth="1"/>
    <col min="12" max="16384" width="9.140625" style="173"/>
  </cols>
  <sheetData>
    <row r="1" spans="1:19" ht="22.9" customHeight="1">
      <c r="D1" s="700"/>
      <c r="E1" s="700"/>
      <c r="H1" s="25"/>
      <c r="J1" s="794" t="s">
        <v>471</v>
      </c>
      <c r="K1" s="794"/>
    </row>
    <row r="2" spans="1:19" ht="15">
      <c r="A2" s="872" t="s">
        <v>0</v>
      </c>
      <c r="B2" s="872"/>
      <c r="C2" s="872"/>
      <c r="D2" s="872"/>
      <c r="E2" s="872"/>
      <c r="F2" s="872"/>
      <c r="G2" s="872"/>
      <c r="H2" s="872"/>
      <c r="I2" s="872"/>
      <c r="J2" s="872"/>
    </row>
    <row r="3" spans="1:19" ht="18">
      <c r="A3" s="807" t="s">
        <v>737</v>
      </c>
      <c r="B3" s="807"/>
      <c r="C3" s="807"/>
      <c r="D3" s="807"/>
      <c r="E3" s="807"/>
      <c r="F3" s="807"/>
      <c r="G3" s="807"/>
      <c r="H3" s="807"/>
      <c r="I3" s="807"/>
      <c r="J3" s="807"/>
    </row>
    <row r="4" spans="1:19" ht="10.5" customHeight="1"/>
    <row r="5" spans="1:19" ht="15.75" customHeight="1">
      <c r="A5" s="918" t="s">
        <v>481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420"/>
    </row>
    <row r="6" spans="1:19" ht="15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9">
      <c r="A7" s="699" t="s">
        <v>658</v>
      </c>
      <c r="B7" s="699"/>
      <c r="I7" s="864" t="s">
        <v>809</v>
      </c>
      <c r="J7" s="864"/>
      <c r="K7" s="864"/>
    </row>
    <row r="8" spans="1:19" s="4" customFormat="1" ht="15.75" hidden="1">
      <c r="C8" s="872" t="s">
        <v>13</v>
      </c>
      <c r="D8" s="872"/>
      <c r="E8" s="872"/>
      <c r="F8" s="872"/>
      <c r="G8" s="872"/>
      <c r="H8" s="872"/>
      <c r="I8" s="872"/>
      <c r="J8" s="872"/>
    </row>
    <row r="9" spans="1:19" ht="31.5" customHeight="1">
      <c r="A9" s="795" t="s">
        <v>20</v>
      </c>
      <c r="B9" s="795" t="s">
        <v>33</v>
      </c>
      <c r="C9" s="677" t="s">
        <v>830</v>
      </c>
      <c r="D9" s="679"/>
      <c r="E9" s="677" t="s">
        <v>470</v>
      </c>
      <c r="F9" s="679"/>
      <c r="G9" s="677" t="s">
        <v>35</v>
      </c>
      <c r="H9" s="679"/>
      <c r="I9" s="668" t="s">
        <v>100</v>
      </c>
      <c r="J9" s="668"/>
      <c r="K9" s="795" t="s">
        <v>507</v>
      </c>
      <c r="R9" s="8"/>
      <c r="S9" s="10"/>
    </row>
    <row r="10" spans="1:19" s="5" customFormat="1" ht="46.5" customHeight="1">
      <c r="A10" s="796"/>
      <c r="B10" s="796"/>
      <c r="C10" s="150" t="s">
        <v>36</v>
      </c>
      <c r="D10" s="150" t="s">
        <v>99</v>
      </c>
      <c r="E10" s="150" t="s">
        <v>36</v>
      </c>
      <c r="F10" s="150" t="s">
        <v>99</v>
      </c>
      <c r="G10" s="150" t="s">
        <v>36</v>
      </c>
      <c r="H10" s="150" t="s">
        <v>99</v>
      </c>
      <c r="I10" s="150" t="s">
        <v>132</v>
      </c>
      <c r="J10" s="150" t="s">
        <v>133</v>
      </c>
      <c r="K10" s="796"/>
    </row>
    <row r="11" spans="1:19" s="5" customFormat="1">
      <c r="A11" s="445">
        <v>1</v>
      </c>
      <c r="B11" s="445">
        <v>2</v>
      </c>
      <c r="C11" s="445">
        <v>3</v>
      </c>
      <c r="D11" s="445">
        <v>4</v>
      </c>
      <c r="E11" s="445">
        <v>5</v>
      </c>
      <c r="F11" s="445">
        <v>6</v>
      </c>
      <c r="G11" s="445">
        <v>7</v>
      </c>
      <c r="H11" s="445">
        <v>8</v>
      </c>
      <c r="I11" s="445">
        <v>9</v>
      </c>
      <c r="J11" s="445">
        <v>10</v>
      </c>
      <c r="K11" s="445">
        <v>11</v>
      </c>
    </row>
    <row r="12" spans="1:19" ht="12.75" customHeight="1">
      <c r="A12" s="204">
        <v>1</v>
      </c>
      <c r="B12" s="204" t="s">
        <v>624</v>
      </c>
      <c r="C12" s="390">
        <v>515</v>
      </c>
      <c r="D12" s="390">
        <v>7380000</v>
      </c>
      <c r="E12" s="390">
        <v>0</v>
      </c>
      <c r="F12" s="390">
        <v>0</v>
      </c>
      <c r="G12" s="390">
        <v>0</v>
      </c>
      <c r="H12" s="390">
        <v>0</v>
      </c>
      <c r="I12" s="514">
        <f>C12-E12-G12</f>
        <v>515</v>
      </c>
      <c r="J12" s="514">
        <f>D12-F12-H12</f>
        <v>7380000</v>
      </c>
      <c r="K12" s="730" t="s">
        <v>896</v>
      </c>
    </row>
    <row r="13" spans="1:19" ht="12.75" customHeight="1">
      <c r="A13" s="204">
        <f>A12+1</f>
        <v>2</v>
      </c>
      <c r="B13" s="204" t="s">
        <v>589</v>
      </c>
      <c r="C13" s="390">
        <v>659</v>
      </c>
      <c r="D13" s="390">
        <v>8635000</v>
      </c>
      <c r="E13" s="390">
        <v>0</v>
      </c>
      <c r="F13" s="390">
        <v>0</v>
      </c>
      <c r="G13" s="390">
        <v>0</v>
      </c>
      <c r="H13" s="390">
        <v>0</v>
      </c>
      <c r="I13" s="514">
        <f t="shared" ref="I13:I45" si="0">C13-E13-G13</f>
        <v>659</v>
      </c>
      <c r="J13" s="514">
        <f t="shared" ref="J13:J45" si="1">D13-F13-H13</f>
        <v>8635000</v>
      </c>
      <c r="K13" s="914"/>
    </row>
    <row r="14" spans="1:19" ht="12.75" customHeight="1">
      <c r="A14" s="204">
        <f t="shared" ref="A14:A44" si="2">A13+1</f>
        <v>3</v>
      </c>
      <c r="B14" s="204" t="s">
        <v>625</v>
      </c>
      <c r="C14" s="390">
        <v>0</v>
      </c>
      <c r="D14" s="390">
        <v>0</v>
      </c>
      <c r="E14" s="390">
        <v>0</v>
      </c>
      <c r="F14" s="390">
        <v>0</v>
      </c>
      <c r="G14" s="390">
        <v>0</v>
      </c>
      <c r="H14" s="390">
        <v>0</v>
      </c>
      <c r="I14" s="514">
        <f t="shared" si="0"/>
        <v>0</v>
      </c>
      <c r="J14" s="514">
        <f t="shared" si="1"/>
        <v>0</v>
      </c>
      <c r="K14" s="914"/>
    </row>
    <row r="15" spans="1:19" ht="12.75" customHeight="1">
      <c r="A15" s="204">
        <f t="shared" si="2"/>
        <v>4</v>
      </c>
      <c r="B15" s="204" t="s">
        <v>590</v>
      </c>
      <c r="C15" s="390">
        <v>537</v>
      </c>
      <c r="D15" s="390">
        <v>7865000</v>
      </c>
      <c r="E15" s="390">
        <v>0</v>
      </c>
      <c r="F15" s="390">
        <v>0</v>
      </c>
      <c r="G15" s="390">
        <v>0</v>
      </c>
      <c r="H15" s="390">
        <v>0</v>
      </c>
      <c r="I15" s="514">
        <f t="shared" si="0"/>
        <v>537</v>
      </c>
      <c r="J15" s="514">
        <f t="shared" si="1"/>
        <v>7865000</v>
      </c>
      <c r="K15" s="914"/>
    </row>
    <row r="16" spans="1:19" ht="12.75" customHeight="1">
      <c r="A16" s="204">
        <f t="shared" si="2"/>
        <v>5</v>
      </c>
      <c r="B16" s="204" t="s">
        <v>591</v>
      </c>
      <c r="C16" s="390">
        <v>340</v>
      </c>
      <c r="D16" s="390">
        <v>4960000</v>
      </c>
      <c r="E16" s="390">
        <v>0</v>
      </c>
      <c r="F16" s="390">
        <v>0</v>
      </c>
      <c r="G16" s="390">
        <v>0</v>
      </c>
      <c r="H16" s="390">
        <v>0</v>
      </c>
      <c r="I16" s="514">
        <f t="shared" si="0"/>
        <v>340</v>
      </c>
      <c r="J16" s="514">
        <f t="shared" si="1"/>
        <v>4960000</v>
      </c>
      <c r="K16" s="914"/>
    </row>
    <row r="17" spans="1:11" ht="12.75" customHeight="1">
      <c r="A17" s="204">
        <f t="shared" si="2"/>
        <v>6</v>
      </c>
      <c r="B17" s="204" t="s">
        <v>592</v>
      </c>
      <c r="C17" s="390">
        <v>227</v>
      </c>
      <c r="D17" s="390">
        <v>3055000</v>
      </c>
      <c r="E17" s="390">
        <v>0</v>
      </c>
      <c r="F17" s="390">
        <v>0</v>
      </c>
      <c r="G17" s="390">
        <v>0</v>
      </c>
      <c r="H17" s="390">
        <v>0</v>
      </c>
      <c r="I17" s="514">
        <f t="shared" si="0"/>
        <v>227</v>
      </c>
      <c r="J17" s="514">
        <f t="shared" si="1"/>
        <v>3055000</v>
      </c>
      <c r="K17" s="914"/>
    </row>
    <row r="18" spans="1:11" ht="12.75" customHeight="1">
      <c r="A18" s="204">
        <f t="shared" si="2"/>
        <v>7</v>
      </c>
      <c r="B18" s="204" t="s">
        <v>593</v>
      </c>
      <c r="C18" s="390">
        <v>416</v>
      </c>
      <c r="D18" s="390">
        <v>6960000</v>
      </c>
      <c r="E18" s="390">
        <v>0</v>
      </c>
      <c r="F18" s="390">
        <v>0</v>
      </c>
      <c r="G18" s="390">
        <v>0</v>
      </c>
      <c r="H18" s="390">
        <v>0</v>
      </c>
      <c r="I18" s="514">
        <f t="shared" si="0"/>
        <v>416</v>
      </c>
      <c r="J18" s="514">
        <f t="shared" si="1"/>
        <v>6960000</v>
      </c>
      <c r="K18" s="914"/>
    </row>
    <row r="19" spans="1:11" ht="12.75" customHeight="1">
      <c r="A19" s="204">
        <f t="shared" si="2"/>
        <v>8</v>
      </c>
      <c r="B19" s="204" t="s">
        <v>594</v>
      </c>
      <c r="C19" s="390">
        <v>783</v>
      </c>
      <c r="D19" s="390">
        <v>11380000</v>
      </c>
      <c r="E19" s="390">
        <v>0</v>
      </c>
      <c r="F19" s="390">
        <v>0</v>
      </c>
      <c r="G19" s="390">
        <v>0</v>
      </c>
      <c r="H19" s="390">
        <v>0</v>
      </c>
      <c r="I19" s="514">
        <f t="shared" si="0"/>
        <v>783</v>
      </c>
      <c r="J19" s="514">
        <f t="shared" si="1"/>
        <v>11380000</v>
      </c>
      <c r="K19" s="914"/>
    </row>
    <row r="20" spans="1:11" ht="12.75" customHeight="1">
      <c r="A20" s="204">
        <f t="shared" si="2"/>
        <v>9</v>
      </c>
      <c r="B20" s="204" t="s">
        <v>595</v>
      </c>
      <c r="C20" s="390">
        <v>407</v>
      </c>
      <c r="D20" s="390">
        <v>5520000</v>
      </c>
      <c r="E20" s="390">
        <v>0</v>
      </c>
      <c r="F20" s="390">
        <v>0</v>
      </c>
      <c r="G20" s="390">
        <v>0</v>
      </c>
      <c r="H20" s="390">
        <v>0</v>
      </c>
      <c r="I20" s="514">
        <f t="shared" si="0"/>
        <v>407</v>
      </c>
      <c r="J20" s="514">
        <f t="shared" si="1"/>
        <v>5520000</v>
      </c>
      <c r="K20" s="914"/>
    </row>
    <row r="21" spans="1:11" ht="12.75" customHeight="1">
      <c r="A21" s="204">
        <f t="shared" si="2"/>
        <v>10</v>
      </c>
      <c r="B21" s="204" t="s">
        <v>596</v>
      </c>
      <c r="C21" s="390">
        <v>821</v>
      </c>
      <c r="D21" s="390">
        <v>11445000</v>
      </c>
      <c r="E21" s="390">
        <v>0</v>
      </c>
      <c r="F21" s="390">
        <v>0</v>
      </c>
      <c r="G21" s="390">
        <v>0</v>
      </c>
      <c r="H21" s="390">
        <v>0</v>
      </c>
      <c r="I21" s="514">
        <f t="shared" si="0"/>
        <v>821</v>
      </c>
      <c r="J21" s="514">
        <f t="shared" si="1"/>
        <v>11445000</v>
      </c>
      <c r="K21" s="914"/>
    </row>
    <row r="22" spans="1:11" ht="12.75" customHeight="1">
      <c r="A22" s="204">
        <f t="shared" si="2"/>
        <v>11</v>
      </c>
      <c r="B22" s="204" t="s">
        <v>626</v>
      </c>
      <c r="C22" s="390">
        <v>420</v>
      </c>
      <c r="D22" s="390">
        <v>5605000</v>
      </c>
      <c r="E22" s="390">
        <v>0</v>
      </c>
      <c r="F22" s="390">
        <v>0</v>
      </c>
      <c r="G22" s="390">
        <v>0</v>
      </c>
      <c r="H22" s="390">
        <v>0</v>
      </c>
      <c r="I22" s="514">
        <f t="shared" si="0"/>
        <v>420</v>
      </c>
      <c r="J22" s="514">
        <f t="shared" si="1"/>
        <v>5605000</v>
      </c>
      <c r="K22" s="914"/>
    </row>
    <row r="23" spans="1:11" ht="12.75" customHeight="1">
      <c r="A23" s="204">
        <f t="shared" si="2"/>
        <v>12</v>
      </c>
      <c r="B23" s="204" t="s">
        <v>597</v>
      </c>
      <c r="C23" s="390">
        <v>413</v>
      </c>
      <c r="D23" s="390">
        <v>5915000</v>
      </c>
      <c r="E23" s="390">
        <v>0</v>
      </c>
      <c r="F23" s="390">
        <v>0</v>
      </c>
      <c r="G23" s="390">
        <v>0</v>
      </c>
      <c r="H23" s="390">
        <v>0</v>
      </c>
      <c r="I23" s="514">
        <f t="shared" si="0"/>
        <v>413</v>
      </c>
      <c r="J23" s="514">
        <f t="shared" si="1"/>
        <v>5915000</v>
      </c>
      <c r="K23" s="914"/>
    </row>
    <row r="24" spans="1:11" ht="12.75" customHeight="1">
      <c r="A24" s="204">
        <f t="shared" si="2"/>
        <v>13</v>
      </c>
      <c r="B24" s="204" t="s">
        <v>598</v>
      </c>
      <c r="C24" s="390">
        <v>280</v>
      </c>
      <c r="D24" s="390">
        <v>4385000</v>
      </c>
      <c r="E24" s="390">
        <v>0</v>
      </c>
      <c r="F24" s="390">
        <v>0</v>
      </c>
      <c r="G24" s="390">
        <v>0</v>
      </c>
      <c r="H24" s="390">
        <v>0</v>
      </c>
      <c r="I24" s="514">
        <f t="shared" si="0"/>
        <v>280</v>
      </c>
      <c r="J24" s="514">
        <f t="shared" si="1"/>
        <v>4385000</v>
      </c>
      <c r="K24" s="914"/>
    </row>
    <row r="25" spans="1:11" ht="12.75" customHeight="1">
      <c r="A25" s="204">
        <f t="shared" si="2"/>
        <v>14</v>
      </c>
      <c r="B25" s="204" t="s">
        <v>627</v>
      </c>
      <c r="C25" s="390">
        <v>436</v>
      </c>
      <c r="D25" s="390">
        <v>5985000</v>
      </c>
      <c r="E25" s="390">
        <v>0</v>
      </c>
      <c r="F25" s="390">
        <v>0</v>
      </c>
      <c r="G25" s="390">
        <v>0</v>
      </c>
      <c r="H25" s="390">
        <v>0</v>
      </c>
      <c r="I25" s="514">
        <f t="shared" si="0"/>
        <v>436</v>
      </c>
      <c r="J25" s="514">
        <f t="shared" si="1"/>
        <v>5985000</v>
      </c>
      <c r="K25" s="914"/>
    </row>
    <row r="26" spans="1:11" ht="12.75" customHeight="1">
      <c r="A26" s="204">
        <f t="shared" si="2"/>
        <v>15</v>
      </c>
      <c r="B26" s="204" t="s">
        <v>599</v>
      </c>
      <c r="C26" s="390">
        <v>686</v>
      </c>
      <c r="D26" s="390">
        <v>10210000</v>
      </c>
      <c r="E26" s="390">
        <v>0</v>
      </c>
      <c r="F26" s="390">
        <v>0</v>
      </c>
      <c r="G26" s="390">
        <v>0</v>
      </c>
      <c r="H26" s="390">
        <v>0</v>
      </c>
      <c r="I26" s="514">
        <f t="shared" si="0"/>
        <v>686</v>
      </c>
      <c r="J26" s="514">
        <f t="shared" si="1"/>
        <v>10210000</v>
      </c>
      <c r="K26" s="914"/>
    </row>
    <row r="27" spans="1:11" ht="12.75" customHeight="1">
      <c r="A27" s="204">
        <f t="shared" si="2"/>
        <v>16</v>
      </c>
      <c r="B27" s="204" t="s">
        <v>600</v>
      </c>
      <c r="C27" s="390">
        <v>432</v>
      </c>
      <c r="D27" s="390">
        <v>7420000</v>
      </c>
      <c r="E27" s="390">
        <v>0</v>
      </c>
      <c r="F27" s="390">
        <v>0</v>
      </c>
      <c r="G27" s="390">
        <v>0</v>
      </c>
      <c r="H27" s="390">
        <v>0</v>
      </c>
      <c r="I27" s="514">
        <f t="shared" si="0"/>
        <v>432</v>
      </c>
      <c r="J27" s="514">
        <f t="shared" si="1"/>
        <v>7420000</v>
      </c>
      <c r="K27" s="914"/>
    </row>
    <row r="28" spans="1:11" s="527" customFormat="1" ht="12.75" customHeight="1">
      <c r="A28" s="204">
        <f t="shared" si="2"/>
        <v>17</v>
      </c>
      <c r="B28" s="529" t="s">
        <v>684</v>
      </c>
      <c r="C28" s="390">
        <v>191</v>
      </c>
      <c r="D28" s="390">
        <v>2445000</v>
      </c>
      <c r="E28" s="390">
        <v>0</v>
      </c>
      <c r="F28" s="390">
        <v>0</v>
      </c>
      <c r="G28" s="390">
        <v>0</v>
      </c>
      <c r="H28" s="390">
        <v>0</v>
      </c>
      <c r="I28" s="514">
        <f t="shared" si="0"/>
        <v>191</v>
      </c>
      <c r="J28" s="514">
        <f t="shared" si="1"/>
        <v>2445000</v>
      </c>
      <c r="K28" s="914"/>
    </row>
    <row r="29" spans="1:11" ht="12.75" customHeight="1">
      <c r="A29" s="204">
        <f t="shared" si="2"/>
        <v>18</v>
      </c>
      <c r="B29" s="204" t="s">
        <v>601</v>
      </c>
      <c r="C29" s="390">
        <v>532</v>
      </c>
      <c r="D29" s="390">
        <v>7950000</v>
      </c>
      <c r="E29" s="390">
        <v>0</v>
      </c>
      <c r="F29" s="390">
        <v>0</v>
      </c>
      <c r="G29" s="390">
        <v>0</v>
      </c>
      <c r="H29" s="390">
        <v>0</v>
      </c>
      <c r="I29" s="514">
        <f t="shared" si="0"/>
        <v>532</v>
      </c>
      <c r="J29" s="514">
        <f t="shared" si="1"/>
        <v>7950000</v>
      </c>
      <c r="K29" s="914"/>
    </row>
    <row r="30" spans="1:11" ht="12.75" customHeight="1">
      <c r="A30" s="204">
        <f t="shared" si="2"/>
        <v>19</v>
      </c>
      <c r="B30" s="204" t="s">
        <v>602</v>
      </c>
      <c r="C30" s="390">
        <v>863</v>
      </c>
      <c r="D30" s="390">
        <v>12285000</v>
      </c>
      <c r="E30" s="390">
        <v>0</v>
      </c>
      <c r="F30" s="390">
        <v>0</v>
      </c>
      <c r="G30" s="390">
        <v>0</v>
      </c>
      <c r="H30" s="390">
        <v>0</v>
      </c>
      <c r="I30" s="514">
        <f t="shared" si="0"/>
        <v>863</v>
      </c>
      <c r="J30" s="514">
        <f t="shared" si="1"/>
        <v>12285000</v>
      </c>
      <c r="K30" s="914"/>
    </row>
    <row r="31" spans="1:11" s="527" customFormat="1" ht="12.75" customHeight="1">
      <c r="A31" s="204">
        <f t="shared" si="2"/>
        <v>20</v>
      </c>
      <c r="B31" s="529" t="s">
        <v>683</v>
      </c>
      <c r="C31" s="390">
        <v>402</v>
      </c>
      <c r="D31" s="390">
        <v>6625000</v>
      </c>
      <c r="E31" s="390">
        <v>0</v>
      </c>
      <c r="F31" s="390">
        <v>0</v>
      </c>
      <c r="G31" s="390">
        <v>0</v>
      </c>
      <c r="H31" s="390">
        <v>0</v>
      </c>
      <c r="I31" s="514">
        <f t="shared" si="0"/>
        <v>402</v>
      </c>
      <c r="J31" s="514">
        <f t="shared" si="1"/>
        <v>6625000</v>
      </c>
      <c r="K31" s="914"/>
    </row>
    <row r="32" spans="1:11" ht="12.75" customHeight="1">
      <c r="A32" s="204">
        <f t="shared" si="2"/>
        <v>21</v>
      </c>
      <c r="B32" s="529" t="s">
        <v>628</v>
      </c>
      <c r="C32" s="390">
        <v>505</v>
      </c>
      <c r="D32" s="390">
        <v>7125000</v>
      </c>
      <c r="E32" s="390">
        <v>0</v>
      </c>
      <c r="F32" s="390">
        <v>0</v>
      </c>
      <c r="G32" s="390">
        <v>0</v>
      </c>
      <c r="H32" s="390">
        <v>0</v>
      </c>
      <c r="I32" s="514">
        <f t="shared" si="0"/>
        <v>505</v>
      </c>
      <c r="J32" s="514">
        <f t="shared" si="1"/>
        <v>7125000</v>
      </c>
      <c r="K32" s="914"/>
    </row>
    <row r="33" spans="1:11" ht="12.75" customHeight="1">
      <c r="A33" s="204">
        <f t="shared" si="2"/>
        <v>22</v>
      </c>
      <c r="B33" s="204" t="s">
        <v>603</v>
      </c>
      <c r="C33" s="390">
        <v>867</v>
      </c>
      <c r="D33" s="390">
        <v>12620000</v>
      </c>
      <c r="E33" s="390">
        <v>0</v>
      </c>
      <c r="F33" s="390">
        <v>0</v>
      </c>
      <c r="G33" s="390">
        <v>0</v>
      </c>
      <c r="H33" s="390">
        <v>0</v>
      </c>
      <c r="I33" s="514">
        <f t="shared" si="0"/>
        <v>867</v>
      </c>
      <c r="J33" s="514">
        <f t="shared" si="1"/>
        <v>12620000</v>
      </c>
      <c r="K33" s="914"/>
    </row>
    <row r="34" spans="1:11" ht="12.75" customHeight="1">
      <c r="A34" s="204">
        <f t="shared" si="2"/>
        <v>23</v>
      </c>
      <c r="B34" s="204" t="s">
        <v>604</v>
      </c>
      <c r="C34" s="390">
        <v>318</v>
      </c>
      <c r="D34" s="390">
        <v>4325000</v>
      </c>
      <c r="E34" s="390">
        <v>0</v>
      </c>
      <c r="F34" s="390">
        <v>0</v>
      </c>
      <c r="G34" s="390">
        <v>0</v>
      </c>
      <c r="H34" s="390">
        <v>0</v>
      </c>
      <c r="I34" s="514">
        <f t="shared" si="0"/>
        <v>318</v>
      </c>
      <c r="J34" s="514">
        <f t="shared" si="1"/>
        <v>4325000</v>
      </c>
      <c r="K34" s="914"/>
    </row>
    <row r="35" spans="1:11" ht="12.75" customHeight="1">
      <c r="A35" s="204">
        <f t="shared" si="2"/>
        <v>24</v>
      </c>
      <c r="B35" s="204" t="s">
        <v>605</v>
      </c>
      <c r="C35" s="390">
        <v>354</v>
      </c>
      <c r="D35" s="390">
        <v>4960000</v>
      </c>
      <c r="E35" s="390">
        <v>0</v>
      </c>
      <c r="F35" s="390">
        <v>0</v>
      </c>
      <c r="G35" s="390">
        <v>0</v>
      </c>
      <c r="H35" s="390">
        <v>0</v>
      </c>
      <c r="I35" s="514">
        <f t="shared" si="0"/>
        <v>354</v>
      </c>
      <c r="J35" s="514">
        <f t="shared" si="1"/>
        <v>4960000</v>
      </c>
      <c r="K35" s="914"/>
    </row>
    <row r="36" spans="1:11" ht="12.75" customHeight="1">
      <c r="A36" s="204">
        <f t="shared" si="2"/>
        <v>25</v>
      </c>
      <c r="B36" s="204" t="s">
        <v>606</v>
      </c>
      <c r="C36" s="390">
        <v>922</v>
      </c>
      <c r="D36" s="390">
        <v>14600000</v>
      </c>
      <c r="E36" s="390">
        <v>0</v>
      </c>
      <c r="F36" s="390">
        <v>0</v>
      </c>
      <c r="G36" s="390">
        <v>0</v>
      </c>
      <c r="H36" s="390">
        <v>0</v>
      </c>
      <c r="I36" s="514">
        <f t="shared" si="0"/>
        <v>922</v>
      </c>
      <c r="J36" s="514">
        <f t="shared" si="1"/>
        <v>14600000</v>
      </c>
      <c r="K36" s="914"/>
    </row>
    <row r="37" spans="1:11" ht="12.75" customHeight="1">
      <c r="A37" s="204">
        <f t="shared" si="2"/>
        <v>26</v>
      </c>
      <c r="B37" s="204" t="s">
        <v>607</v>
      </c>
      <c r="C37" s="390">
        <v>523</v>
      </c>
      <c r="D37" s="390">
        <v>7455000</v>
      </c>
      <c r="E37" s="390">
        <v>0</v>
      </c>
      <c r="F37" s="390">
        <v>0</v>
      </c>
      <c r="G37" s="390">
        <v>0</v>
      </c>
      <c r="H37" s="390">
        <v>0</v>
      </c>
      <c r="I37" s="514">
        <f t="shared" si="0"/>
        <v>523</v>
      </c>
      <c r="J37" s="514">
        <f t="shared" si="1"/>
        <v>7455000</v>
      </c>
      <c r="K37" s="914"/>
    </row>
    <row r="38" spans="1:11" ht="12.75" customHeight="1">
      <c r="A38" s="204">
        <f t="shared" si="2"/>
        <v>27</v>
      </c>
      <c r="B38" s="204" t="s">
        <v>608</v>
      </c>
      <c r="C38" s="390">
        <v>726</v>
      </c>
      <c r="D38" s="390">
        <v>10770000</v>
      </c>
      <c r="E38" s="390">
        <v>0</v>
      </c>
      <c r="F38" s="390">
        <v>0</v>
      </c>
      <c r="G38" s="390">
        <v>0</v>
      </c>
      <c r="H38" s="390">
        <v>0</v>
      </c>
      <c r="I38" s="514">
        <f t="shared" si="0"/>
        <v>726</v>
      </c>
      <c r="J38" s="514">
        <f t="shared" si="1"/>
        <v>10770000</v>
      </c>
      <c r="K38" s="914"/>
    </row>
    <row r="39" spans="1:11" ht="12.75" customHeight="1">
      <c r="A39" s="204">
        <f t="shared" si="2"/>
        <v>28</v>
      </c>
      <c r="B39" s="204" t="s">
        <v>609</v>
      </c>
      <c r="C39" s="390">
        <v>601</v>
      </c>
      <c r="D39" s="390">
        <v>8375000</v>
      </c>
      <c r="E39" s="390">
        <v>0</v>
      </c>
      <c r="F39" s="390">
        <v>0</v>
      </c>
      <c r="G39" s="390">
        <v>0</v>
      </c>
      <c r="H39" s="390">
        <v>0</v>
      </c>
      <c r="I39" s="514">
        <f t="shared" si="0"/>
        <v>601</v>
      </c>
      <c r="J39" s="514">
        <f t="shared" si="1"/>
        <v>8375000</v>
      </c>
      <c r="K39" s="914"/>
    </row>
    <row r="40" spans="1:11" ht="12.75" customHeight="1">
      <c r="A40" s="204">
        <f t="shared" si="2"/>
        <v>29</v>
      </c>
      <c r="B40" s="204" t="s">
        <v>610</v>
      </c>
      <c r="C40" s="390">
        <v>635</v>
      </c>
      <c r="D40" s="390">
        <v>9340000</v>
      </c>
      <c r="E40" s="390">
        <v>0</v>
      </c>
      <c r="F40" s="390">
        <v>0</v>
      </c>
      <c r="G40" s="390">
        <v>0</v>
      </c>
      <c r="H40" s="390">
        <v>0</v>
      </c>
      <c r="I40" s="514">
        <f t="shared" si="0"/>
        <v>635</v>
      </c>
      <c r="J40" s="514">
        <f t="shared" si="1"/>
        <v>9340000</v>
      </c>
      <c r="K40" s="914"/>
    </row>
    <row r="41" spans="1:11" ht="12.75" customHeight="1">
      <c r="A41" s="204">
        <f t="shared" si="2"/>
        <v>30</v>
      </c>
      <c r="B41" s="502" t="s">
        <v>611</v>
      </c>
      <c r="C41" s="390">
        <v>391</v>
      </c>
      <c r="D41" s="390">
        <v>5860000</v>
      </c>
      <c r="E41" s="390">
        <v>0</v>
      </c>
      <c r="F41" s="390">
        <v>0</v>
      </c>
      <c r="G41" s="390">
        <v>0</v>
      </c>
      <c r="H41" s="390">
        <v>0</v>
      </c>
      <c r="I41" s="514">
        <f t="shared" si="0"/>
        <v>391</v>
      </c>
      <c r="J41" s="514">
        <f t="shared" si="1"/>
        <v>5860000</v>
      </c>
      <c r="K41" s="914"/>
    </row>
    <row r="42" spans="1:11" ht="12.75" customHeight="1">
      <c r="A42" s="204">
        <f t="shared" si="2"/>
        <v>31</v>
      </c>
      <c r="B42" s="502" t="s">
        <v>612</v>
      </c>
      <c r="C42" s="390">
        <v>358</v>
      </c>
      <c r="D42" s="390">
        <v>4985000</v>
      </c>
      <c r="E42" s="390">
        <v>0</v>
      </c>
      <c r="F42" s="390">
        <v>0</v>
      </c>
      <c r="G42" s="390">
        <v>0</v>
      </c>
      <c r="H42" s="390">
        <v>0</v>
      </c>
      <c r="I42" s="514">
        <f t="shared" si="0"/>
        <v>358</v>
      </c>
      <c r="J42" s="514">
        <f t="shared" si="1"/>
        <v>4985000</v>
      </c>
      <c r="K42" s="914"/>
    </row>
    <row r="43" spans="1:11" s="10" customFormat="1" ht="12.75" customHeight="1">
      <c r="A43" s="204">
        <f t="shared" si="2"/>
        <v>32</v>
      </c>
      <c r="B43" s="502" t="s">
        <v>613</v>
      </c>
      <c r="C43" s="390">
        <v>334</v>
      </c>
      <c r="D43" s="390">
        <v>5015000</v>
      </c>
      <c r="E43" s="390">
        <v>0</v>
      </c>
      <c r="F43" s="390">
        <v>0</v>
      </c>
      <c r="G43" s="390">
        <v>0</v>
      </c>
      <c r="H43" s="390">
        <v>0</v>
      </c>
      <c r="I43" s="514">
        <f t="shared" si="0"/>
        <v>334</v>
      </c>
      <c r="J43" s="514">
        <f t="shared" si="1"/>
        <v>5015000</v>
      </c>
      <c r="K43" s="914"/>
    </row>
    <row r="44" spans="1:11" s="10" customFormat="1" ht="12.75" customHeight="1">
      <c r="A44" s="204">
        <f t="shared" si="2"/>
        <v>33</v>
      </c>
      <c r="B44" s="502" t="s">
        <v>614</v>
      </c>
      <c r="C44" s="390">
        <v>430</v>
      </c>
      <c r="D44" s="390">
        <v>6180000</v>
      </c>
      <c r="E44" s="390">
        <v>0</v>
      </c>
      <c r="F44" s="390">
        <v>0</v>
      </c>
      <c r="G44" s="390">
        <v>0</v>
      </c>
      <c r="H44" s="390">
        <v>0</v>
      </c>
      <c r="I44" s="514">
        <f t="shared" si="0"/>
        <v>430</v>
      </c>
      <c r="J44" s="514">
        <f t="shared" si="1"/>
        <v>6180000</v>
      </c>
      <c r="K44" s="914"/>
    </row>
    <row r="45" spans="1:11" s="18" customFormat="1" ht="12.75" customHeight="1">
      <c r="A45" s="274"/>
      <c r="B45" s="274" t="s">
        <v>615</v>
      </c>
      <c r="C45" s="514">
        <f>SUM(C12:C44)</f>
        <v>16324</v>
      </c>
      <c r="D45" s="514">
        <f>SUM(D12:D44)</f>
        <v>237635000</v>
      </c>
      <c r="E45" s="514">
        <v>0</v>
      </c>
      <c r="F45" s="514">
        <v>0</v>
      </c>
      <c r="G45" s="514">
        <v>0</v>
      </c>
      <c r="H45" s="514">
        <v>0</v>
      </c>
      <c r="I45" s="514">
        <f t="shared" si="0"/>
        <v>16324</v>
      </c>
      <c r="J45" s="514">
        <f t="shared" si="1"/>
        <v>237635000</v>
      </c>
      <c r="K45" s="731"/>
    </row>
    <row r="46" spans="1:11" s="10" customFormat="1"/>
    <row r="47" spans="1:11" s="10" customFormat="1">
      <c r="A47" s="9" t="s">
        <v>37</v>
      </c>
    </row>
    <row r="48" spans="1:11" ht="15.75" customHeight="1">
      <c r="C48" s="917"/>
      <c r="D48" s="917"/>
      <c r="E48" s="917"/>
      <c r="F48" s="917"/>
    </row>
    <row r="49" spans="1:11">
      <c r="A49" s="797"/>
      <c r="B49" s="797"/>
      <c r="C49" s="797"/>
      <c r="D49" s="797"/>
      <c r="E49" s="797"/>
      <c r="F49" s="797"/>
      <c r="G49" s="797"/>
      <c r="H49" s="797"/>
      <c r="I49" s="797"/>
      <c r="J49" s="797"/>
    </row>
    <row r="50" spans="1:11" ht="15.75">
      <c r="H50" s="761" t="s">
        <v>908</v>
      </c>
      <c r="I50" s="761"/>
      <c r="J50" s="761"/>
      <c r="K50" s="761"/>
    </row>
    <row r="51" spans="1:11" ht="15.75">
      <c r="H51" s="761" t="s">
        <v>646</v>
      </c>
      <c r="I51" s="761"/>
      <c r="J51" s="761"/>
      <c r="K51" s="761"/>
    </row>
  </sheetData>
  <mergeCells count="20"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K5"/>
    <mergeCell ref="A49:J49"/>
    <mergeCell ref="K9:K10"/>
    <mergeCell ref="C48:F48"/>
    <mergeCell ref="H50:K50"/>
    <mergeCell ref="H51:K51"/>
    <mergeCell ref="K12:K45"/>
  </mergeCells>
  <printOptions horizontalCentered="1"/>
  <pageMargins left="0.70866141732283472" right="0.70866141732283472" top="0.43" bottom="0" header="0.31496062992125984" footer="0.31496062992125984"/>
  <pageSetup paperSize="9" scale="7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topLeftCell="A22" zoomScaleNormal="70" zoomScaleSheetLayoutView="100" workbookViewId="0">
      <selection activeCell="A22" sqref="A22"/>
    </sheetView>
  </sheetViews>
  <sheetFormatPr defaultRowHeight="12.75"/>
  <cols>
    <col min="1" max="1" width="7.140625" style="173" customWidth="1"/>
    <col min="2" max="2" width="24" style="173" customWidth="1"/>
    <col min="3" max="3" width="14.5703125" style="173" customWidth="1"/>
    <col min="4" max="4" width="16.5703125" style="128" customWidth="1"/>
    <col min="5" max="8" width="18.42578125" style="128" customWidth="1"/>
    <col min="9" max="16384" width="9.140625" style="173"/>
  </cols>
  <sheetData>
    <row r="1" spans="1:15">
      <c r="H1" s="133" t="s">
        <v>509</v>
      </c>
    </row>
    <row r="2" spans="1:15" ht="15.75">
      <c r="A2" s="702" t="s">
        <v>0</v>
      </c>
      <c r="B2" s="702"/>
      <c r="C2" s="702"/>
      <c r="D2" s="702"/>
      <c r="E2" s="702"/>
      <c r="F2" s="702"/>
      <c r="G2" s="702"/>
      <c r="H2" s="702"/>
      <c r="I2" s="49"/>
      <c r="J2" s="49"/>
      <c r="K2" s="49"/>
      <c r="L2" s="49"/>
      <c r="M2" s="49"/>
      <c r="N2" s="49"/>
      <c r="O2" s="49"/>
    </row>
    <row r="3" spans="1:15" ht="20.25">
      <c r="A3" s="703" t="s">
        <v>737</v>
      </c>
      <c r="B3" s="703"/>
      <c r="C3" s="703"/>
      <c r="D3" s="703"/>
      <c r="E3" s="703"/>
      <c r="F3" s="703"/>
      <c r="G3" s="703"/>
      <c r="H3" s="703"/>
      <c r="I3" s="26"/>
      <c r="J3" s="26"/>
      <c r="K3" s="26"/>
      <c r="L3" s="26"/>
      <c r="M3" s="26"/>
      <c r="N3" s="26"/>
      <c r="O3" s="26"/>
    </row>
    <row r="5" spans="1:15" ht="15.75">
      <c r="A5" s="702" t="s">
        <v>508</v>
      </c>
      <c r="B5" s="702"/>
      <c r="C5" s="702"/>
      <c r="D5" s="702"/>
      <c r="E5" s="702"/>
      <c r="F5" s="702"/>
      <c r="G5" s="702"/>
      <c r="H5" s="702"/>
      <c r="I5" s="49"/>
      <c r="J5" s="49"/>
      <c r="K5" s="49"/>
      <c r="L5" s="49"/>
      <c r="M5" s="49"/>
      <c r="N5" s="49"/>
      <c r="O5" s="49"/>
    </row>
    <row r="6" spans="1:15">
      <c r="A6" s="76" t="s">
        <v>664</v>
      </c>
      <c r="B6" s="76"/>
      <c r="F6" s="922" t="s">
        <v>774</v>
      </c>
      <c r="G6" s="922"/>
      <c r="H6" s="922"/>
      <c r="L6" s="55"/>
      <c r="M6" s="55"/>
      <c r="N6" s="804"/>
      <c r="O6" s="804"/>
    </row>
    <row r="7" spans="1:15" ht="31.5" customHeight="1">
      <c r="A7" s="668" t="s">
        <v>2</v>
      </c>
      <c r="B7" s="668" t="s">
        <v>3</v>
      </c>
      <c r="C7" s="880" t="s">
        <v>378</v>
      </c>
      <c r="D7" s="919" t="s">
        <v>486</v>
      </c>
      <c r="E7" s="920"/>
      <c r="F7" s="920"/>
      <c r="G7" s="920"/>
      <c r="H7" s="921"/>
    </row>
    <row r="8" spans="1:15" ht="60">
      <c r="A8" s="668"/>
      <c r="B8" s="668"/>
      <c r="C8" s="880"/>
      <c r="D8" s="211" t="s">
        <v>487</v>
      </c>
      <c r="E8" s="211" t="s">
        <v>488</v>
      </c>
      <c r="F8" s="211" t="s">
        <v>489</v>
      </c>
      <c r="G8" s="211" t="s">
        <v>559</v>
      </c>
      <c r="H8" s="211" t="s">
        <v>43</v>
      </c>
    </row>
    <row r="9" spans="1:15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150">
        <v>8</v>
      </c>
    </row>
    <row r="10" spans="1:15">
      <c r="A10" s="204">
        <v>1</v>
      </c>
      <c r="B10" s="204" t="s">
        <v>624</v>
      </c>
      <c r="C10" s="23">
        <v>1156</v>
      </c>
      <c r="D10" s="23">
        <v>238</v>
      </c>
      <c r="E10" s="23">
        <v>0</v>
      </c>
      <c r="F10" s="23">
        <v>918</v>
      </c>
      <c r="G10" s="23">
        <v>0</v>
      </c>
      <c r="H10" s="23">
        <v>0</v>
      </c>
    </row>
    <row r="11" spans="1:15">
      <c r="A11" s="204">
        <f>A10+1</f>
        <v>2</v>
      </c>
      <c r="B11" s="204" t="s">
        <v>589</v>
      </c>
      <c r="C11" s="23">
        <v>1315</v>
      </c>
      <c r="D11" s="23">
        <v>0</v>
      </c>
      <c r="E11" s="23">
        <v>0</v>
      </c>
      <c r="F11" s="23">
        <v>1315</v>
      </c>
      <c r="G11" s="23">
        <v>0</v>
      </c>
      <c r="H11" s="23">
        <v>0</v>
      </c>
      <c r="I11" s="579"/>
      <c r="J11" s="579"/>
      <c r="L11" s="579"/>
    </row>
    <row r="12" spans="1:15">
      <c r="A12" s="204">
        <f t="shared" ref="A12:A42" si="0">A11+1</f>
        <v>3</v>
      </c>
      <c r="B12" s="204" t="s">
        <v>625</v>
      </c>
      <c r="C12" s="617">
        <v>866</v>
      </c>
      <c r="D12" s="617">
        <v>0</v>
      </c>
      <c r="E12" s="23">
        <v>0</v>
      </c>
      <c r="F12" s="23">
        <v>0</v>
      </c>
      <c r="G12" s="23">
        <v>866</v>
      </c>
      <c r="H12" s="23">
        <v>0</v>
      </c>
      <c r="I12" s="579"/>
      <c r="J12" s="579"/>
      <c r="L12" s="579"/>
    </row>
    <row r="13" spans="1:15">
      <c r="A13" s="204">
        <f t="shared" si="0"/>
        <v>4</v>
      </c>
      <c r="B13" s="204" t="s">
        <v>590</v>
      </c>
      <c r="C13" s="23">
        <v>772</v>
      </c>
      <c r="D13" s="23">
        <v>654</v>
      </c>
      <c r="E13" s="23">
        <v>0</v>
      </c>
      <c r="F13" s="23">
        <v>118</v>
      </c>
      <c r="G13" s="23">
        <v>0</v>
      </c>
      <c r="H13" s="23">
        <v>0</v>
      </c>
      <c r="I13" s="579"/>
      <c r="J13" s="579"/>
      <c r="L13" s="579"/>
    </row>
    <row r="14" spans="1:15">
      <c r="A14" s="204">
        <f t="shared" si="0"/>
        <v>5</v>
      </c>
      <c r="B14" s="204" t="s">
        <v>591</v>
      </c>
      <c r="C14" s="23">
        <v>511</v>
      </c>
      <c r="D14" s="23">
        <v>0</v>
      </c>
      <c r="E14" s="23">
        <v>0</v>
      </c>
      <c r="F14" s="23">
        <v>511</v>
      </c>
      <c r="G14" s="23">
        <v>0</v>
      </c>
      <c r="H14" s="23">
        <v>0</v>
      </c>
      <c r="I14" s="579"/>
      <c r="J14" s="579"/>
      <c r="L14" s="579"/>
    </row>
    <row r="15" spans="1:15">
      <c r="A15" s="204">
        <f t="shared" si="0"/>
        <v>6</v>
      </c>
      <c r="B15" s="204" t="s">
        <v>592</v>
      </c>
      <c r="C15" s="23">
        <v>417</v>
      </c>
      <c r="D15" s="23">
        <v>0</v>
      </c>
      <c r="E15" s="23">
        <v>0</v>
      </c>
      <c r="F15" s="23">
        <v>417</v>
      </c>
      <c r="G15" s="23">
        <v>0</v>
      </c>
      <c r="H15" s="23">
        <v>0</v>
      </c>
      <c r="I15" s="579"/>
      <c r="J15" s="579"/>
      <c r="L15" s="579"/>
    </row>
    <row r="16" spans="1:15">
      <c r="A16" s="204">
        <f t="shared" si="0"/>
        <v>7</v>
      </c>
      <c r="B16" s="204" t="s">
        <v>593</v>
      </c>
      <c r="C16" s="23">
        <v>462</v>
      </c>
      <c r="D16" s="23">
        <v>0</v>
      </c>
      <c r="E16" s="23">
        <v>0</v>
      </c>
      <c r="F16" s="23">
        <v>462</v>
      </c>
      <c r="G16" s="23">
        <v>0</v>
      </c>
      <c r="H16" s="23">
        <v>0</v>
      </c>
      <c r="I16" s="579"/>
      <c r="J16" s="579"/>
      <c r="L16" s="579"/>
    </row>
    <row r="17" spans="1:12">
      <c r="A17" s="204">
        <f t="shared" si="0"/>
        <v>8</v>
      </c>
      <c r="B17" s="204" t="s">
        <v>594</v>
      </c>
      <c r="C17" s="23">
        <v>1008</v>
      </c>
      <c r="D17" s="23">
        <v>333</v>
      </c>
      <c r="E17" s="23">
        <v>0</v>
      </c>
      <c r="F17" s="23">
        <v>675</v>
      </c>
      <c r="G17" s="23">
        <v>0</v>
      </c>
      <c r="H17" s="23">
        <v>0</v>
      </c>
      <c r="I17" s="579"/>
      <c r="J17" s="579"/>
      <c r="L17" s="579"/>
    </row>
    <row r="18" spans="1:12">
      <c r="A18" s="204">
        <f t="shared" si="0"/>
        <v>9</v>
      </c>
      <c r="B18" s="204" t="s">
        <v>595</v>
      </c>
      <c r="C18" s="23">
        <v>641</v>
      </c>
      <c r="D18" s="23">
        <v>425</v>
      </c>
      <c r="E18" s="23">
        <v>0</v>
      </c>
      <c r="F18" s="23">
        <v>216</v>
      </c>
      <c r="G18" s="23">
        <v>0</v>
      </c>
      <c r="H18" s="23">
        <v>0</v>
      </c>
      <c r="I18" s="579"/>
      <c r="J18" s="579"/>
      <c r="L18" s="579"/>
    </row>
    <row r="19" spans="1:12">
      <c r="A19" s="204">
        <f t="shared" si="0"/>
        <v>10</v>
      </c>
      <c r="B19" s="204" t="s">
        <v>596</v>
      </c>
      <c r="C19" s="23">
        <v>1241</v>
      </c>
      <c r="D19" s="23">
        <v>0</v>
      </c>
      <c r="E19" s="23">
        <v>0</v>
      </c>
      <c r="F19" s="23">
        <v>1241</v>
      </c>
      <c r="G19" s="23">
        <v>0</v>
      </c>
      <c r="H19" s="23">
        <v>0</v>
      </c>
      <c r="I19" s="579"/>
      <c r="J19" s="579"/>
      <c r="L19" s="579"/>
    </row>
    <row r="20" spans="1:12">
      <c r="A20" s="204">
        <f t="shared" si="0"/>
        <v>11</v>
      </c>
      <c r="B20" s="204" t="s">
        <v>626</v>
      </c>
      <c r="C20" s="23">
        <v>1009</v>
      </c>
      <c r="D20" s="23">
        <v>327</v>
      </c>
      <c r="E20" s="23">
        <v>0</v>
      </c>
      <c r="F20" s="23">
        <f>1009-327</f>
        <v>682</v>
      </c>
      <c r="G20" s="23">
        <v>0</v>
      </c>
      <c r="H20" s="23">
        <v>0</v>
      </c>
      <c r="I20" s="579"/>
      <c r="J20" s="579"/>
      <c r="L20" s="579"/>
    </row>
    <row r="21" spans="1:12">
      <c r="A21" s="204">
        <f t="shared" si="0"/>
        <v>12</v>
      </c>
      <c r="B21" s="204" t="s">
        <v>597</v>
      </c>
      <c r="C21" s="23">
        <v>902</v>
      </c>
      <c r="D21" s="23">
        <v>0</v>
      </c>
      <c r="E21" s="23">
        <v>0</v>
      </c>
      <c r="F21" s="23">
        <v>902</v>
      </c>
      <c r="G21" s="23">
        <v>0</v>
      </c>
      <c r="H21" s="23">
        <v>0</v>
      </c>
      <c r="I21" s="579"/>
      <c r="J21" s="579"/>
      <c r="L21" s="579"/>
    </row>
    <row r="22" spans="1:12">
      <c r="A22" s="204">
        <f t="shared" si="0"/>
        <v>13</v>
      </c>
      <c r="B22" s="204" t="s">
        <v>598</v>
      </c>
      <c r="C22" s="23">
        <v>857</v>
      </c>
      <c r="D22" s="23">
        <v>0</v>
      </c>
      <c r="E22" s="23">
        <v>0</v>
      </c>
      <c r="F22" s="23">
        <v>397</v>
      </c>
      <c r="G22" s="23">
        <v>460</v>
      </c>
      <c r="H22" s="23">
        <v>0</v>
      </c>
      <c r="I22" s="579"/>
      <c r="J22" s="579"/>
      <c r="L22" s="579"/>
    </row>
    <row r="23" spans="1:12">
      <c r="A23" s="204">
        <f t="shared" si="0"/>
        <v>14</v>
      </c>
      <c r="B23" s="204" t="s">
        <v>627</v>
      </c>
      <c r="C23" s="23">
        <v>769</v>
      </c>
      <c r="D23" s="23">
        <v>346</v>
      </c>
      <c r="E23" s="23">
        <v>0</v>
      </c>
      <c r="F23" s="23">
        <v>423</v>
      </c>
      <c r="G23" s="23">
        <v>0</v>
      </c>
      <c r="H23" s="23">
        <v>0</v>
      </c>
      <c r="I23" s="579"/>
      <c r="J23" s="579"/>
      <c r="L23" s="579"/>
    </row>
    <row r="24" spans="1:12">
      <c r="A24" s="204">
        <f t="shared" si="0"/>
        <v>15</v>
      </c>
      <c r="B24" s="204" t="s">
        <v>599</v>
      </c>
      <c r="C24" s="23">
        <v>891</v>
      </c>
      <c r="D24" s="23">
        <v>0</v>
      </c>
      <c r="E24" s="23">
        <v>0</v>
      </c>
      <c r="F24" s="23">
        <v>891</v>
      </c>
      <c r="G24" s="23">
        <v>0</v>
      </c>
      <c r="H24" s="23">
        <v>0</v>
      </c>
      <c r="I24" s="579"/>
      <c r="J24" s="579"/>
      <c r="L24" s="579"/>
    </row>
    <row r="25" spans="1:12">
      <c r="A25" s="204">
        <f t="shared" si="0"/>
        <v>16</v>
      </c>
      <c r="B25" s="204" t="s">
        <v>600</v>
      </c>
      <c r="C25" s="23">
        <v>514</v>
      </c>
      <c r="D25" s="200">
        <v>102</v>
      </c>
      <c r="E25" s="23">
        <v>0</v>
      </c>
      <c r="F25" s="23">
        <v>394</v>
      </c>
      <c r="G25" s="200">
        <v>18</v>
      </c>
      <c r="H25" s="23">
        <v>0</v>
      </c>
      <c r="I25" s="579"/>
      <c r="J25" s="579"/>
      <c r="L25" s="579"/>
    </row>
    <row r="26" spans="1:12" s="527" customFormat="1">
      <c r="A26" s="204">
        <f t="shared" si="0"/>
        <v>17</v>
      </c>
      <c r="B26" s="529" t="s">
        <v>684</v>
      </c>
      <c r="C26" s="23">
        <v>409</v>
      </c>
      <c r="D26" s="200">
        <v>0</v>
      </c>
      <c r="E26" s="23">
        <v>0</v>
      </c>
      <c r="F26" s="23">
        <v>409</v>
      </c>
      <c r="G26" s="200">
        <v>0</v>
      </c>
      <c r="H26" s="23">
        <v>0</v>
      </c>
      <c r="I26" s="579"/>
      <c r="J26" s="579"/>
      <c r="L26" s="579"/>
    </row>
    <row r="27" spans="1:12">
      <c r="A27" s="204">
        <f t="shared" si="0"/>
        <v>18</v>
      </c>
      <c r="B27" s="204" t="s">
        <v>601</v>
      </c>
      <c r="C27" s="23">
        <v>832</v>
      </c>
      <c r="D27" s="200">
        <v>0</v>
      </c>
      <c r="E27" s="23">
        <v>0</v>
      </c>
      <c r="F27" s="23">
        <v>832</v>
      </c>
      <c r="G27" s="200">
        <v>0</v>
      </c>
      <c r="H27" s="23">
        <v>0</v>
      </c>
      <c r="I27" s="579"/>
      <c r="J27" s="579"/>
      <c r="L27" s="579"/>
    </row>
    <row r="28" spans="1:12">
      <c r="A28" s="204">
        <f t="shared" si="0"/>
        <v>19</v>
      </c>
      <c r="B28" s="204" t="s">
        <v>602</v>
      </c>
      <c r="C28" s="23">
        <v>1430</v>
      </c>
      <c r="D28" s="200">
        <v>0</v>
      </c>
      <c r="E28" s="23">
        <v>0</v>
      </c>
      <c r="F28" s="23">
        <v>1430</v>
      </c>
      <c r="G28" s="200">
        <v>0</v>
      </c>
      <c r="H28" s="23">
        <v>0</v>
      </c>
      <c r="I28" s="579"/>
      <c r="J28" s="579"/>
      <c r="L28" s="579"/>
    </row>
    <row r="29" spans="1:12" s="527" customFormat="1">
      <c r="A29" s="204">
        <f t="shared" si="0"/>
        <v>20</v>
      </c>
      <c r="B29" s="529" t="s">
        <v>683</v>
      </c>
      <c r="C29" s="23">
        <v>492</v>
      </c>
      <c r="D29" s="200">
        <v>0</v>
      </c>
      <c r="E29" s="23">
        <v>0</v>
      </c>
      <c r="F29" s="23">
        <v>492</v>
      </c>
      <c r="G29" s="200">
        <v>0</v>
      </c>
      <c r="H29" s="23">
        <v>0</v>
      </c>
      <c r="I29" s="579"/>
      <c r="J29" s="579"/>
      <c r="L29" s="579"/>
    </row>
    <row r="30" spans="1:12">
      <c r="A30" s="204">
        <f t="shared" si="0"/>
        <v>21</v>
      </c>
      <c r="B30" s="529" t="s">
        <v>628</v>
      </c>
      <c r="C30" s="23">
        <v>767</v>
      </c>
      <c r="D30" s="200">
        <v>363</v>
      </c>
      <c r="E30" s="23">
        <v>0</v>
      </c>
      <c r="F30" s="23">
        <v>404</v>
      </c>
      <c r="G30" s="200">
        <v>0</v>
      </c>
      <c r="H30" s="23">
        <v>0</v>
      </c>
      <c r="I30" s="579"/>
      <c r="J30" s="579"/>
      <c r="L30" s="579"/>
    </row>
    <row r="31" spans="1:12">
      <c r="A31" s="204">
        <f t="shared" si="0"/>
        <v>22</v>
      </c>
      <c r="B31" s="204" t="s">
        <v>603</v>
      </c>
      <c r="C31" s="23">
        <v>1208</v>
      </c>
      <c r="D31" s="200">
        <v>723</v>
      </c>
      <c r="E31" s="23">
        <v>0</v>
      </c>
      <c r="F31" s="23">
        <f>473+12</f>
        <v>485</v>
      </c>
      <c r="G31" s="200">
        <v>0</v>
      </c>
      <c r="H31" s="23">
        <v>0</v>
      </c>
      <c r="I31" s="579"/>
      <c r="J31" s="579"/>
      <c r="L31" s="579"/>
    </row>
    <row r="32" spans="1:12">
      <c r="A32" s="204">
        <f t="shared" si="0"/>
        <v>23</v>
      </c>
      <c r="B32" s="204" t="s">
        <v>604</v>
      </c>
      <c r="C32" s="23">
        <v>529</v>
      </c>
      <c r="D32" s="200">
        <v>20</v>
      </c>
      <c r="E32" s="23">
        <v>0</v>
      </c>
      <c r="F32" s="23">
        <v>509</v>
      </c>
      <c r="G32" s="200">
        <v>0</v>
      </c>
      <c r="H32" s="23">
        <v>0</v>
      </c>
      <c r="I32" s="579"/>
      <c r="J32" s="579"/>
      <c r="L32" s="579"/>
    </row>
    <row r="33" spans="1:12">
      <c r="A33" s="204">
        <f t="shared" si="0"/>
        <v>24</v>
      </c>
      <c r="B33" s="204" t="s">
        <v>605</v>
      </c>
      <c r="C33" s="23">
        <v>480</v>
      </c>
      <c r="D33" s="200">
        <v>13</v>
      </c>
      <c r="E33" s="23">
        <v>0</v>
      </c>
      <c r="F33" s="23">
        <v>467</v>
      </c>
      <c r="G33" s="200">
        <v>0</v>
      </c>
      <c r="H33" s="23">
        <v>0</v>
      </c>
      <c r="I33" s="579"/>
      <c r="J33" s="579"/>
      <c r="L33" s="579"/>
    </row>
    <row r="34" spans="1:12">
      <c r="A34" s="204">
        <f t="shared" si="0"/>
        <v>25</v>
      </c>
      <c r="B34" s="204" t="s">
        <v>606</v>
      </c>
      <c r="C34" s="23">
        <v>1320</v>
      </c>
      <c r="D34" s="200">
        <v>206</v>
      </c>
      <c r="E34" s="23">
        <v>7</v>
      </c>
      <c r="F34" s="23">
        <f>C34-G34-D34-E34</f>
        <v>1055</v>
      </c>
      <c r="G34" s="200">
        <v>52</v>
      </c>
      <c r="H34" s="23">
        <v>0</v>
      </c>
      <c r="I34" s="579"/>
      <c r="J34" s="579"/>
      <c r="L34" s="579"/>
    </row>
    <row r="35" spans="1:12">
      <c r="A35" s="204">
        <f t="shared" si="0"/>
        <v>26</v>
      </c>
      <c r="B35" s="204" t="s">
        <v>607</v>
      </c>
      <c r="C35" s="23">
        <v>1272</v>
      </c>
      <c r="D35" s="200">
        <v>0</v>
      </c>
      <c r="E35" s="23">
        <v>0</v>
      </c>
      <c r="F35" s="23">
        <v>734</v>
      </c>
      <c r="G35" s="200">
        <v>538</v>
      </c>
      <c r="H35" s="23">
        <v>0</v>
      </c>
      <c r="I35" s="579"/>
      <c r="J35" s="579"/>
      <c r="L35" s="579"/>
    </row>
    <row r="36" spans="1:12">
      <c r="A36" s="204">
        <f t="shared" si="0"/>
        <v>27</v>
      </c>
      <c r="B36" s="204" t="s">
        <v>608</v>
      </c>
      <c r="C36" s="23">
        <v>963</v>
      </c>
      <c r="D36" s="200">
        <v>0</v>
      </c>
      <c r="E36" s="23">
        <v>0</v>
      </c>
      <c r="F36" s="23">
        <v>963</v>
      </c>
      <c r="G36" s="200">
        <v>0</v>
      </c>
      <c r="H36" s="23">
        <v>0</v>
      </c>
      <c r="I36" s="579"/>
      <c r="J36" s="579"/>
      <c r="L36" s="579"/>
    </row>
    <row r="37" spans="1:12">
      <c r="A37" s="204">
        <f t="shared" si="0"/>
        <v>28</v>
      </c>
      <c r="B37" s="204" t="s">
        <v>609</v>
      </c>
      <c r="C37" s="23">
        <v>951</v>
      </c>
      <c r="D37" s="200">
        <v>8</v>
      </c>
      <c r="E37" s="23">
        <v>0</v>
      </c>
      <c r="F37" s="23">
        <v>943</v>
      </c>
      <c r="G37" s="200">
        <v>0</v>
      </c>
      <c r="H37" s="23">
        <v>0</v>
      </c>
      <c r="I37" s="579"/>
      <c r="J37" s="579"/>
      <c r="L37" s="579"/>
    </row>
    <row r="38" spans="1:12">
      <c r="A38" s="204">
        <f t="shared" si="0"/>
        <v>29</v>
      </c>
      <c r="B38" s="204" t="s">
        <v>610</v>
      </c>
      <c r="C38" s="23">
        <v>1033</v>
      </c>
      <c r="D38" s="200">
        <v>32</v>
      </c>
      <c r="E38" s="23">
        <v>0</v>
      </c>
      <c r="F38" s="23">
        <v>1001</v>
      </c>
      <c r="G38" s="200">
        <v>0</v>
      </c>
      <c r="H38" s="23">
        <v>0</v>
      </c>
      <c r="I38" s="579"/>
      <c r="J38" s="579"/>
      <c r="L38" s="579"/>
    </row>
    <row r="39" spans="1:12">
      <c r="A39" s="204">
        <f t="shared" si="0"/>
        <v>30</v>
      </c>
      <c r="B39" s="502" t="s">
        <v>611</v>
      </c>
      <c r="C39" s="23">
        <v>509</v>
      </c>
      <c r="D39" s="200">
        <v>0</v>
      </c>
      <c r="E39" s="23">
        <v>0</v>
      </c>
      <c r="F39" s="23">
        <v>509</v>
      </c>
      <c r="G39" s="200">
        <v>0</v>
      </c>
      <c r="H39" s="23">
        <v>0</v>
      </c>
      <c r="I39" s="579"/>
      <c r="J39" s="579"/>
      <c r="L39" s="579"/>
    </row>
    <row r="40" spans="1:12">
      <c r="A40" s="204">
        <f t="shared" si="0"/>
        <v>31</v>
      </c>
      <c r="B40" s="502" t="s">
        <v>612</v>
      </c>
      <c r="C40" s="23">
        <v>607</v>
      </c>
      <c r="D40" s="319">
        <v>0</v>
      </c>
      <c r="E40" s="23">
        <v>0</v>
      </c>
      <c r="F40" s="23">
        <v>607</v>
      </c>
      <c r="G40" s="319">
        <v>0</v>
      </c>
      <c r="H40" s="23">
        <v>0</v>
      </c>
      <c r="I40" s="579"/>
      <c r="J40" s="579"/>
      <c r="L40" s="579"/>
    </row>
    <row r="41" spans="1:12" ht="15" customHeight="1">
      <c r="A41" s="204">
        <f t="shared" si="0"/>
        <v>32</v>
      </c>
      <c r="B41" s="502" t="s">
        <v>613</v>
      </c>
      <c r="C41" s="23">
        <v>524</v>
      </c>
      <c r="D41" s="319">
        <v>0</v>
      </c>
      <c r="E41" s="23">
        <v>0</v>
      </c>
      <c r="F41" s="23">
        <v>524</v>
      </c>
      <c r="G41" s="319">
        <v>0</v>
      </c>
      <c r="H41" s="23">
        <v>0</v>
      </c>
      <c r="I41" s="579"/>
      <c r="J41" s="579"/>
      <c r="L41" s="579"/>
    </row>
    <row r="42" spans="1:12" ht="15" customHeight="1">
      <c r="A42" s="204">
        <f t="shared" si="0"/>
        <v>33</v>
      </c>
      <c r="B42" s="502" t="s">
        <v>614</v>
      </c>
      <c r="C42" s="23">
        <v>672</v>
      </c>
      <c r="D42" s="319">
        <v>0</v>
      </c>
      <c r="E42" s="23">
        <v>0</v>
      </c>
      <c r="F42" s="23">
        <v>672</v>
      </c>
      <c r="G42" s="319">
        <v>0</v>
      </c>
      <c r="H42" s="23">
        <v>0</v>
      </c>
      <c r="I42" s="579"/>
      <c r="J42" s="579"/>
      <c r="L42" s="579"/>
    </row>
    <row r="43" spans="1:12" ht="15" customHeight="1">
      <c r="A43" s="151"/>
      <c r="B43" s="151" t="s">
        <v>615</v>
      </c>
      <c r="C43" s="67">
        <f t="shared" ref="C43:H43" si="1">SUM(C10:C42)</f>
        <v>27329</v>
      </c>
      <c r="D43" s="67">
        <f t="shared" si="1"/>
        <v>3790</v>
      </c>
      <c r="E43" s="67">
        <f t="shared" si="1"/>
        <v>7</v>
      </c>
      <c r="F43" s="67">
        <f t="shared" si="1"/>
        <v>21598</v>
      </c>
      <c r="G43" s="67">
        <f t="shared" si="1"/>
        <v>1934</v>
      </c>
      <c r="H43" s="67">
        <f t="shared" si="1"/>
        <v>0</v>
      </c>
      <c r="I43" s="579"/>
    </row>
    <row r="44" spans="1:12" ht="15" customHeight="1">
      <c r="A44" s="106"/>
      <c r="B44" s="106"/>
      <c r="C44" s="106"/>
      <c r="D44" s="165"/>
      <c r="E44" s="165"/>
      <c r="F44" s="165"/>
      <c r="G44" s="165"/>
      <c r="H44" s="165"/>
    </row>
    <row r="46" spans="1:12" ht="15.75">
      <c r="E46" s="761" t="s">
        <v>908</v>
      </c>
      <c r="F46" s="761"/>
      <c r="G46" s="761"/>
      <c r="H46" s="761"/>
    </row>
    <row r="47" spans="1:12" ht="15.75">
      <c r="E47" s="761" t="s">
        <v>646</v>
      </c>
      <c r="F47" s="761"/>
      <c r="G47" s="761"/>
      <c r="H47" s="761"/>
    </row>
  </sheetData>
  <mergeCells count="11">
    <mergeCell ref="E47:H47"/>
    <mergeCell ref="N6:O6"/>
    <mergeCell ref="A7:A8"/>
    <mergeCell ref="B7:B8"/>
    <mergeCell ref="C7:C8"/>
    <mergeCell ref="F6:H6"/>
    <mergeCell ref="A2:H2"/>
    <mergeCell ref="A3:H3"/>
    <mergeCell ref="A5:H5"/>
    <mergeCell ref="D7:H7"/>
    <mergeCell ref="E46:H46"/>
  </mergeCells>
  <printOptions horizontalCentered="1"/>
  <pageMargins left="0.52" right="0.52" top="0.47" bottom="0" header="0.31496062992125984" footer="0.31496062992125984"/>
  <pageSetup paperSize="9" scale="8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8"/>
  <sheetViews>
    <sheetView view="pageBreakPreview" topLeftCell="B9" zoomScale="86" zoomScaleNormal="70" zoomScaleSheetLayoutView="86" workbookViewId="0">
      <selection activeCell="M29" sqref="M29"/>
    </sheetView>
  </sheetViews>
  <sheetFormatPr defaultRowHeight="12.75"/>
  <cols>
    <col min="1" max="1" width="4.85546875" style="173" customWidth="1"/>
    <col min="2" max="2" width="19.5703125" style="173" customWidth="1"/>
    <col min="3" max="3" width="9.28515625" style="173" bestFit="1" customWidth="1"/>
    <col min="4" max="5" width="8.140625" style="173" bestFit="1" customWidth="1"/>
    <col min="6" max="6" width="10.5703125" style="173" bestFit="1" customWidth="1"/>
    <col min="7" max="7" width="9.28515625" style="173" bestFit="1" customWidth="1"/>
    <col min="8" max="9" width="8.140625" style="173" bestFit="1" customWidth="1"/>
    <col min="10" max="10" width="9.28515625" style="173" bestFit="1" customWidth="1"/>
    <col min="11" max="11" width="8.5703125" style="173" bestFit="1" customWidth="1"/>
    <col min="12" max="12" width="8.140625" style="173" bestFit="1" customWidth="1"/>
    <col min="13" max="13" width="7.5703125" style="173" bestFit="1" customWidth="1"/>
    <col min="14" max="14" width="8.85546875" style="173" customWidth="1"/>
    <col min="15" max="15" width="9.28515625" style="173" bestFit="1" customWidth="1"/>
    <col min="16" max="17" width="8.140625" style="173" bestFit="1" customWidth="1"/>
    <col min="18" max="18" width="11" style="173" bestFit="1" customWidth="1"/>
    <col min="19" max="19" width="10.5703125" style="173" customWidth="1"/>
    <col min="20" max="20" width="9.85546875" style="173" customWidth="1"/>
    <col min="21" max="21" width="8.7109375" style="173" customWidth="1"/>
    <col min="22" max="22" width="9.7109375" style="173" customWidth="1"/>
    <col min="23" max="27" width="9.140625" style="173"/>
    <col min="28" max="28" width="11" style="173" customWidth="1"/>
    <col min="29" max="30" width="8.85546875" style="173" hidden="1" customWidth="1"/>
    <col min="31" max="16384" width="9.140625" style="173"/>
  </cols>
  <sheetData>
    <row r="2" spans="1:256">
      <c r="G2" s="700"/>
      <c r="H2" s="700"/>
      <c r="I2" s="700"/>
      <c r="J2" s="700"/>
      <c r="K2" s="700"/>
      <c r="L2" s="700"/>
      <c r="M2" s="700"/>
      <c r="N2" s="700"/>
      <c r="O2" s="700"/>
      <c r="P2" s="159"/>
      <c r="Q2" s="159"/>
      <c r="R2" s="159"/>
      <c r="V2" s="155" t="s">
        <v>55</v>
      </c>
    </row>
    <row r="3" spans="1:256" ht="15">
      <c r="A3" s="733" t="s">
        <v>53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</row>
    <row r="4" spans="1:256" ht="15.75">
      <c r="A4" s="702" t="s">
        <v>737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6" spans="1:256" ht="15">
      <c r="A6" s="734" t="s">
        <v>768</v>
      </c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</row>
    <row r="7" spans="1:256" ht="15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56" s="5" customFormat="1">
      <c r="A8" s="21" t="s">
        <v>658</v>
      </c>
      <c r="B8" s="21"/>
    </row>
    <row r="10" spans="1:256" ht="14.25">
      <c r="U10" s="747" t="s">
        <v>454</v>
      </c>
      <c r="V10" s="747"/>
      <c r="AB10" s="705"/>
      <c r="AC10" s="705"/>
      <c r="AD10" s="705"/>
    </row>
    <row r="11" spans="1:256" ht="12.75" customHeight="1">
      <c r="A11" s="735" t="s">
        <v>2</v>
      </c>
      <c r="B11" s="735" t="s">
        <v>104</v>
      </c>
      <c r="C11" s="737" t="s">
        <v>151</v>
      </c>
      <c r="D11" s="738"/>
      <c r="E11" s="738"/>
      <c r="F11" s="739"/>
      <c r="G11" s="744" t="s">
        <v>782</v>
      </c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746"/>
      <c r="S11" s="668" t="s">
        <v>243</v>
      </c>
      <c r="T11" s="668"/>
      <c r="U11" s="668"/>
      <c r="V11" s="668"/>
      <c r="W11" s="146"/>
      <c r="X11" s="146"/>
      <c r="Y11" s="146"/>
      <c r="Z11" s="146"/>
      <c r="AA11" s="146"/>
      <c r="AB11" s="146"/>
      <c r="AC11" s="146"/>
      <c r="AD11" s="146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>
      <c r="A12" s="736"/>
      <c r="B12" s="736"/>
      <c r="C12" s="740"/>
      <c r="D12" s="741"/>
      <c r="E12" s="741"/>
      <c r="F12" s="742"/>
      <c r="G12" s="681" t="s">
        <v>170</v>
      </c>
      <c r="H12" s="743"/>
      <c r="I12" s="743"/>
      <c r="J12" s="682"/>
      <c r="K12" s="681" t="s">
        <v>171</v>
      </c>
      <c r="L12" s="743"/>
      <c r="M12" s="743"/>
      <c r="N12" s="682"/>
      <c r="O12" s="695" t="s">
        <v>16</v>
      </c>
      <c r="P12" s="695"/>
      <c r="Q12" s="695"/>
      <c r="R12" s="695"/>
      <c r="S12" s="668"/>
      <c r="T12" s="668"/>
      <c r="U12" s="668"/>
      <c r="V12" s="668"/>
      <c r="W12" s="146"/>
      <c r="X12" s="146"/>
      <c r="Y12" s="146"/>
      <c r="Z12" s="146"/>
      <c r="AA12" s="146"/>
      <c r="AB12" s="146"/>
      <c r="AC12" s="146"/>
      <c r="AD12" s="14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8.25">
      <c r="A13" s="162"/>
      <c r="B13" s="162"/>
      <c r="C13" s="151" t="s">
        <v>244</v>
      </c>
      <c r="D13" s="151" t="s">
        <v>245</v>
      </c>
      <c r="E13" s="151" t="s">
        <v>246</v>
      </c>
      <c r="F13" s="151" t="s">
        <v>85</v>
      </c>
      <c r="G13" s="151" t="s">
        <v>244</v>
      </c>
      <c r="H13" s="151" t="s">
        <v>245</v>
      </c>
      <c r="I13" s="151" t="s">
        <v>246</v>
      </c>
      <c r="J13" s="151" t="s">
        <v>16</v>
      </c>
      <c r="K13" s="151" t="s">
        <v>244</v>
      </c>
      <c r="L13" s="151" t="s">
        <v>245</v>
      </c>
      <c r="M13" s="151" t="s">
        <v>246</v>
      </c>
      <c r="N13" s="151" t="s">
        <v>85</v>
      </c>
      <c r="O13" s="151" t="s">
        <v>244</v>
      </c>
      <c r="P13" s="151" t="s">
        <v>245</v>
      </c>
      <c r="Q13" s="151" t="s">
        <v>246</v>
      </c>
      <c r="R13" s="151" t="s">
        <v>16</v>
      </c>
      <c r="S13" s="150" t="s">
        <v>450</v>
      </c>
      <c r="T13" s="150" t="s">
        <v>451</v>
      </c>
      <c r="U13" s="150" t="s">
        <v>452</v>
      </c>
      <c r="V13" s="122" t="s">
        <v>453</v>
      </c>
      <c r="W13" s="146"/>
      <c r="X13" s="146"/>
      <c r="Y13" s="146"/>
      <c r="Z13" s="146"/>
      <c r="AA13" s="146"/>
      <c r="AB13" s="146"/>
      <c r="AC13" s="146"/>
      <c r="AD13" s="14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>
      <c r="A14" s="69">
        <v>1</v>
      </c>
      <c r="B14" s="79">
        <v>2</v>
      </c>
      <c r="C14" s="69">
        <v>3</v>
      </c>
      <c r="D14" s="69">
        <v>4</v>
      </c>
      <c r="E14" s="79">
        <v>5</v>
      </c>
      <c r="F14" s="69">
        <v>6</v>
      </c>
      <c r="G14" s="69">
        <v>7</v>
      </c>
      <c r="H14" s="79">
        <v>8</v>
      </c>
      <c r="I14" s="69">
        <v>9</v>
      </c>
      <c r="J14" s="69">
        <v>10</v>
      </c>
      <c r="K14" s="79">
        <v>11</v>
      </c>
      <c r="L14" s="69">
        <v>12</v>
      </c>
      <c r="M14" s="69">
        <v>13</v>
      </c>
      <c r="N14" s="79">
        <v>14</v>
      </c>
      <c r="O14" s="69">
        <v>15</v>
      </c>
      <c r="P14" s="69">
        <v>16</v>
      </c>
      <c r="Q14" s="79">
        <v>17</v>
      </c>
      <c r="R14" s="69">
        <v>18</v>
      </c>
      <c r="S14" s="69">
        <v>19</v>
      </c>
      <c r="T14" s="79">
        <v>20</v>
      </c>
      <c r="U14" s="69">
        <v>21</v>
      </c>
      <c r="V14" s="69">
        <v>22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25.5">
      <c r="A15" s="143"/>
      <c r="B15" s="81" t="s">
        <v>230</v>
      </c>
      <c r="C15" s="143"/>
      <c r="D15" s="143"/>
      <c r="E15" s="143"/>
      <c r="F15" s="120"/>
      <c r="G15" s="143"/>
      <c r="H15" s="143"/>
      <c r="I15" s="143"/>
      <c r="J15" s="120"/>
      <c r="K15" s="143"/>
      <c r="L15" s="143"/>
      <c r="M15" s="143"/>
      <c r="N15" s="143"/>
      <c r="O15" s="143"/>
      <c r="P15" s="143"/>
      <c r="Q15" s="143"/>
      <c r="R15" s="143"/>
      <c r="S15" s="143"/>
      <c r="T15" s="8"/>
      <c r="U15" s="8"/>
      <c r="V15" s="8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1:256">
      <c r="A16" s="144">
        <v>1</v>
      </c>
      <c r="B16" s="81" t="s">
        <v>177</v>
      </c>
      <c r="C16" s="269">
        <f>1390.51*71.46%</f>
        <v>993.65844599999991</v>
      </c>
      <c r="D16" s="269">
        <f>1390.51*18.75%</f>
        <v>260.72062499999998</v>
      </c>
      <c r="E16" s="269">
        <f>1390.51*9.79%</f>
        <v>136.13092899999998</v>
      </c>
      <c r="F16" s="269">
        <f>SUM(C16:E16)</f>
        <v>1390.5099999999998</v>
      </c>
      <c r="G16" s="269">
        <f>1335.21*71.46%</f>
        <v>954.14106599999991</v>
      </c>
      <c r="H16" s="269">
        <f>1335.21*18.75%</f>
        <v>250.35187500000001</v>
      </c>
      <c r="I16" s="269">
        <f>1335.21*9.79%</f>
        <v>130.71705899999998</v>
      </c>
      <c r="J16" s="269">
        <f>SUM(G16:I16)</f>
        <v>1335.21</v>
      </c>
      <c r="K16" s="269">
        <v>0</v>
      </c>
      <c r="L16" s="269">
        <v>0</v>
      </c>
      <c r="M16" s="269">
        <v>0</v>
      </c>
      <c r="N16" s="269">
        <f t="shared" ref="N16:N21" si="0">SUM(K16:M16)</f>
        <v>0</v>
      </c>
      <c r="O16" s="269">
        <f t="shared" ref="O16:Q20" si="1">G16+K16</f>
        <v>954.14106599999991</v>
      </c>
      <c r="P16" s="269">
        <f t="shared" si="1"/>
        <v>250.35187500000001</v>
      </c>
      <c r="Q16" s="269">
        <f t="shared" si="1"/>
        <v>130.71705899999998</v>
      </c>
      <c r="R16" s="269">
        <f t="shared" ref="R16:R21" si="2">SUM(O16:Q16)</f>
        <v>1335.21</v>
      </c>
      <c r="S16" s="269">
        <f>C16-O16</f>
        <v>39.517380000000003</v>
      </c>
      <c r="T16" s="269">
        <f>D16-P16</f>
        <v>10.368749999999977</v>
      </c>
      <c r="U16" s="269">
        <f>E16-Q16</f>
        <v>5.4138700000000028</v>
      </c>
      <c r="V16" s="269">
        <f>SUM(S16:U16)</f>
        <v>55.299999999999983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1:28">
      <c r="A17" s="144">
        <v>2</v>
      </c>
      <c r="B17" s="82" t="s">
        <v>123</v>
      </c>
      <c r="C17" s="269">
        <f>20140.2*71.46%</f>
        <v>14392.186919999998</v>
      </c>
      <c r="D17" s="269">
        <f>20140.2*18.75%</f>
        <v>3776.2875000000004</v>
      </c>
      <c r="E17" s="269">
        <f>20140.2*9.79%</f>
        <v>1971.7255799999998</v>
      </c>
      <c r="F17" s="269">
        <f>SUM(C17:E17)</f>
        <v>20140.199999999997</v>
      </c>
      <c r="G17" s="524">
        <f>(20768.57*60%)*71.46%</f>
        <v>8904.7320731999989</v>
      </c>
      <c r="H17" s="269">
        <f>(20768.57*60%)*18.75%</f>
        <v>2336.464125</v>
      </c>
      <c r="I17" s="269">
        <f>(20768.57*60%)*9.79%</f>
        <v>1219.9458017999998</v>
      </c>
      <c r="J17" s="269">
        <f>SUM(G17:I17)</f>
        <v>12461.142</v>
      </c>
      <c r="K17" s="524">
        <f>(20768.57*40%)*71.46%</f>
        <v>5936.488048799999</v>
      </c>
      <c r="L17" s="269">
        <f>(20768.57*40%)*18.75%</f>
        <v>1557.64275</v>
      </c>
      <c r="M17" s="269">
        <f>(20768.57*40%)*9.79%</f>
        <v>813.2972011999999</v>
      </c>
      <c r="N17" s="269">
        <f t="shared" si="0"/>
        <v>8307.4279999999981</v>
      </c>
      <c r="O17" s="269">
        <f t="shared" si="1"/>
        <v>14841.220121999999</v>
      </c>
      <c r="P17" s="269">
        <f t="shared" si="1"/>
        <v>3894.1068749999999</v>
      </c>
      <c r="Q17" s="269">
        <f t="shared" si="1"/>
        <v>2033.2430029999996</v>
      </c>
      <c r="R17" s="269">
        <f t="shared" si="2"/>
        <v>20768.57</v>
      </c>
      <c r="S17" s="269">
        <v>0</v>
      </c>
      <c r="T17" s="269">
        <v>0</v>
      </c>
      <c r="U17" s="269">
        <v>0</v>
      </c>
      <c r="V17" s="269">
        <f>SUM(S17:U17)</f>
        <v>0</v>
      </c>
      <c r="Y17" s="699"/>
      <c r="Z17" s="699"/>
      <c r="AA17" s="699"/>
      <c r="AB17" s="699"/>
    </row>
    <row r="18" spans="1:28" ht="25.5">
      <c r="A18" s="144">
        <v>3</v>
      </c>
      <c r="B18" s="81" t="s">
        <v>124</v>
      </c>
      <c r="C18" s="269">
        <f>515.88*71.46%</f>
        <v>368.64784799999995</v>
      </c>
      <c r="D18" s="269">
        <f>515.88*18.75%</f>
        <v>96.727499999999992</v>
      </c>
      <c r="E18" s="269">
        <f>515.88*9.79%</f>
        <v>50.504651999999993</v>
      </c>
      <c r="F18" s="269">
        <f>SUM(C18:E18)</f>
        <v>515.87999999999988</v>
      </c>
      <c r="G18" s="269">
        <f>495.36*71.46%</f>
        <v>353.98425599999996</v>
      </c>
      <c r="H18" s="269">
        <f>495.36*18.75%</f>
        <v>92.88</v>
      </c>
      <c r="I18" s="269">
        <f>495.36*9.79%</f>
        <v>48.495743999999995</v>
      </c>
      <c r="J18" s="269">
        <f>SUM(G18:I18)</f>
        <v>495.35999999999996</v>
      </c>
      <c r="K18" s="269">
        <v>0</v>
      </c>
      <c r="L18" s="269">
        <v>0</v>
      </c>
      <c r="M18" s="269">
        <v>0</v>
      </c>
      <c r="N18" s="269">
        <f t="shared" si="0"/>
        <v>0</v>
      </c>
      <c r="O18" s="269">
        <f t="shared" si="1"/>
        <v>353.98425599999996</v>
      </c>
      <c r="P18" s="269">
        <f t="shared" si="1"/>
        <v>92.88</v>
      </c>
      <c r="Q18" s="269">
        <f t="shared" si="1"/>
        <v>48.495743999999995</v>
      </c>
      <c r="R18" s="269">
        <f t="shared" si="2"/>
        <v>495.35999999999996</v>
      </c>
      <c r="S18" s="269">
        <f>C18-O18</f>
        <v>14.663591999999994</v>
      </c>
      <c r="T18" s="269">
        <f>D18-P18</f>
        <v>3.8474999999999966</v>
      </c>
      <c r="U18" s="269">
        <f>E18-Q18</f>
        <v>2.0089079999999981</v>
      </c>
      <c r="V18" s="269">
        <f>SUM(S18:U18)</f>
        <v>20.519999999999989</v>
      </c>
    </row>
    <row r="19" spans="1:28">
      <c r="A19" s="144">
        <v>4</v>
      </c>
      <c r="B19" s="82" t="s">
        <v>125</v>
      </c>
      <c r="C19" s="269">
        <f>465.76*71.46%</f>
        <v>332.83209599999992</v>
      </c>
      <c r="D19" s="269">
        <f>465.76*18.75%</f>
        <v>87.33</v>
      </c>
      <c r="E19" s="269">
        <f>465.76*9.79%</f>
        <v>45.597903999999993</v>
      </c>
      <c r="F19" s="269">
        <f>SUM(C19:E19)</f>
        <v>465.75999999999988</v>
      </c>
      <c r="G19" s="269">
        <f>473.72*71.46%</f>
        <v>338.52031199999999</v>
      </c>
      <c r="H19" s="269">
        <f>473.72*18.75%</f>
        <v>88.822500000000005</v>
      </c>
      <c r="I19" s="269">
        <f>473.72*9.79%</f>
        <v>46.377187999999997</v>
      </c>
      <c r="J19" s="269">
        <f>SUM(G19:I19)</f>
        <v>473.71999999999997</v>
      </c>
      <c r="K19" s="269">
        <v>0</v>
      </c>
      <c r="L19" s="269">
        <v>0</v>
      </c>
      <c r="M19" s="269">
        <v>0</v>
      </c>
      <c r="N19" s="269">
        <f t="shared" si="0"/>
        <v>0</v>
      </c>
      <c r="O19" s="269">
        <f t="shared" si="1"/>
        <v>338.52031199999999</v>
      </c>
      <c r="P19" s="269">
        <f t="shared" si="1"/>
        <v>88.822500000000005</v>
      </c>
      <c r="Q19" s="269">
        <f t="shared" si="1"/>
        <v>46.377187999999997</v>
      </c>
      <c r="R19" s="269">
        <f t="shared" si="2"/>
        <v>473.71999999999997</v>
      </c>
      <c r="S19" s="269">
        <v>0</v>
      </c>
      <c r="T19" s="269">
        <v>0</v>
      </c>
      <c r="U19" s="269">
        <v>0</v>
      </c>
      <c r="V19" s="269">
        <f>SUM(S19:U19)</f>
        <v>0</v>
      </c>
    </row>
    <row r="20" spans="1:28" ht="25.5">
      <c r="A20" s="144">
        <v>5</v>
      </c>
      <c r="B20" s="81" t="s">
        <v>126</v>
      </c>
      <c r="C20" s="269">
        <f>5423.19*71.46%</f>
        <v>3875.4115739999993</v>
      </c>
      <c r="D20" s="269">
        <f>5423.19*18.75%</f>
        <v>1016.848125</v>
      </c>
      <c r="E20" s="269">
        <f>5423.19*9.79%</f>
        <v>530.93030099999987</v>
      </c>
      <c r="F20" s="269">
        <f>SUM(C20:E20)</f>
        <v>5423.1899999999987</v>
      </c>
      <c r="G20" s="269">
        <f>C20*60%</f>
        <v>2325.2469443999994</v>
      </c>
      <c r="H20" s="269">
        <f>D20*60%</f>
        <v>610.10887500000001</v>
      </c>
      <c r="I20" s="269">
        <f>E20*60%</f>
        <v>318.5581805999999</v>
      </c>
      <c r="J20" s="269">
        <f>SUM(G20:I20)</f>
        <v>3253.9139999999993</v>
      </c>
      <c r="K20" s="269">
        <f>C20*40%</f>
        <v>1550.1646295999999</v>
      </c>
      <c r="L20" s="269">
        <f>D20*40%</f>
        <v>406.73925000000003</v>
      </c>
      <c r="M20" s="269">
        <v>212.36</v>
      </c>
      <c r="N20" s="269">
        <f t="shared" si="0"/>
        <v>2169.2638796000001</v>
      </c>
      <c r="O20" s="269">
        <f t="shared" si="1"/>
        <v>3875.4115739999993</v>
      </c>
      <c r="P20" s="269">
        <f t="shared" si="1"/>
        <v>1016.848125</v>
      </c>
      <c r="Q20" s="269">
        <f t="shared" si="1"/>
        <v>530.91818059999991</v>
      </c>
      <c r="R20" s="269">
        <f t="shared" si="2"/>
        <v>5423.177879599999</v>
      </c>
      <c r="S20" s="269">
        <f>C20-O20</f>
        <v>0</v>
      </c>
      <c r="T20" s="269">
        <f>D20-P20</f>
        <v>0</v>
      </c>
      <c r="U20" s="269">
        <f>E20-Q20</f>
        <v>1.2120399999957954E-2</v>
      </c>
      <c r="V20" s="269">
        <f>SUM(S20:U20)</f>
        <v>1.2120399999957954E-2</v>
      </c>
    </row>
    <row r="21" spans="1:28" s="510" customFormat="1">
      <c r="A21" s="509">
        <v>6</v>
      </c>
      <c r="B21" s="81" t="s">
        <v>669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4363.62</v>
      </c>
      <c r="L21" s="269">
        <v>0</v>
      </c>
      <c r="M21" s="269">
        <v>0</v>
      </c>
      <c r="N21" s="269">
        <f t="shared" si="0"/>
        <v>4363.62</v>
      </c>
      <c r="O21" s="269">
        <f t="shared" ref="O21" si="3">G21+K21</f>
        <v>4363.62</v>
      </c>
      <c r="P21" s="269">
        <f t="shared" ref="P21" si="4">H21+L21</f>
        <v>0</v>
      </c>
      <c r="Q21" s="269">
        <f t="shared" ref="Q21" si="5">I21+M21</f>
        <v>0</v>
      </c>
      <c r="R21" s="269">
        <f t="shared" si="2"/>
        <v>4363.62</v>
      </c>
      <c r="S21" s="269">
        <v>0</v>
      </c>
      <c r="T21" s="269">
        <v>0</v>
      </c>
      <c r="U21" s="269">
        <v>0</v>
      </c>
      <c r="V21" s="269">
        <v>0</v>
      </c>
    </row>
    <row r="22" spans="1:28">
      <c r="A22" s="119"/>
      <c r="B22" s="125" t="s">
        <v>85</v>
      </c>
      <c r="C22" s="269">
        <f>SUM(C16:C21)</f>
        <v>19962.736883999998</v>
      </c>
      <c r="D22" s="269">
        <f t="shared" ref="D22:V22" si="6">SUM(D16:D21)</f>
        <v>5237.9137499999997</v>
      </c>
      <c r="E22" s="269">
        <f t="shared" si="6"/>
        <v>2734.8893659999999</v>
      </c>
      <c r="F22" s="269">
        <f t="shared" si="6"/>
        <v>27935.539999999994</v>
      </c>
      <c r="G22" s="269">
        <f t="shared" si="6"/>
        <v>12876.624651599999</v>
      </c>
      <c r="H22" s="269">
        <f t="shared" si="6"/>
        <v>3378.627375</v>
      </c>
      <c r="I22" s="269">
        <f t="shared" si="6"/>
        <v>1764.0939733999999</v>
      </c>
      <c r="J22" s="269">
        <f t="shared" si="6"/>
        <v>18019.345999999998</v>
      </c>
      <c r="K22" s="269">
        <f t="shared" si="6"/>
        <v>11850.272678399999</v>
      </c>
      <c r="L22" s="269">
        <f t="shared" si="6"/>
        <v>1964.3820000000001</v>
      </c>
      <c r="M22" s="269">
        <f t="shared" si="6"/>
        <v>1025.6572011999999</v>
      </c>
      <c r="N22" s="269">
        <f t="shared" si="6"/>
        <v>14840.311879599998</v>
      </c>
      <c r="O22" s="269">
        <f t="shared" si="6"/>
        <v>24726.897329999996</v>
      </c>
      <c r="P22" s="269">
        <f t="shared" si="6"/>
        <v>5343.0093749999996</v>
      </c>
      <c r="Q22" s="269">
        <f t="shared" si="6"/>
        <v>2789.7511745999991</v>
      </c>
      <c r="R22" s="269">
        <f t="shared" si="6"/>
        <v>32859.657879600003</v>
      </c>
      <c r="S22" s="269">
        <f t="shared" si="6"/>
        <v>54.180971999999997</v>
      </c>
      <c r="T22" s="269">
        <f t="shared" si="6"/>
        <v>14.216249999999974</v>
      </c>
      <c r="U22" s="269">
        <f t="shared" si="6"/>
        <v>7.4348983999999589</v>
      </c>
      <c r="V22" s="269">
        <f t="shared" si="6"/>
        <v>75.832120399999923</v>
      </c>
    </row>
    <row r="23" spans="1:28" ht="25.5">
      <c r="A23" s="144"/>
      <c r="B23" s="83" t="s">
        <v>231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</row>
    <row r="24" spans="1:28">
      <c r="A24" s="144">
        <v>6</v>
      </c>
      <c r="B24" s="81" t="s">
        <v>179</v>
      </c>
      <c r="C24" s="269">
        <v>0</v>
      </c>
      <c r="D24" s="269">
        <v>0</v>
      </c>
      <c r="E24" s="269">
        <v>0</v>
      </c>
      <c r="F24" s="269">
        <f>SUM(C24:E24)</f>
        <v>0</v>
      </c>
      <c r="G24" s="269">
        <v>0</v>
      </c>
      <c r="H24" s="269">
        <v>0</v>
      </c>
      <c r="I24" s="269">
        <v>0</v>
      </c>
      <c r="J24" s="269">
        <f>SUM(G24:I24)</f>
        <v>0</v>
      </c>
      <c r="K24" s="269">
        <v>0</v>
      </c>
      <c r="L24" s="269">
        <v>0</v>
      </c>
      <c r="M24" s="269">
        <v>0</v>
      </c>
      <c r="N24" s="269">
        <f>SUM(K24:M24)</f>
        <v>0</v>
      </c>
      <c r="O24" s="269">
        <v>0</v>
      </c>
      <c r="P24" s="269">
        <v>0</v>
      </c>
      <c r="Q24" s="269">
        <v>0</v>
      </c>
      <c r="R24" s="269">
        <f t="shared" ref="R24:R27" si="7">SUM(O24:Q24)</f>
        <v>0</v>
      </c>
      <c r="S24" s="269">
        <f t="shared" ref="S24:U25" si="8">C24-O24</f>
        <v>0</v>
      </c>
      <c r="T24" s="269">
        <f t="shared" si="8"/>
        <v>0</v>
      </c>
      <c r="U24" s="269">
        <f t="shared" si="8"/>
        <v>0</v>
      </c>
      <c r="V24" s="269">
        <f>SUM(S24:U24)</f>
        <v>0</v>
      </c>
    </row>
    <row r="25" spans="1:28">
      <c r="A25" s="144">
        <v>7</v>
      </c>
      <c r="B25" s="82" t="s">
        <v>128</v>
      </c>
      <c r="C25" s="269">
        <v>2376.3000000000002</v>
      </c>
      <c r="D25" s="269">
        <v>0</v>
      </c>
      <c r="E25" s="269">
        <v>0</v>
      </c>
      <c r="F25" s="269">
        <f>SUM(C25:E25)</f>
        <v>2376.3000000000002</v>
      </c>
      <c r="G25" s="269">
        <f>2376.3*60%</f>
        <v>1425.78</v>
      </c>
      <c r="H25" s="269">
        <v>0</v>
      </c>
      <c r="I25" s="269">
        <v>0</v>
      </c>
      <c r="J25" s="269">
        <f t="shared" ref="J25:J28" si="9">SUM(G25:I25)</f>
        <v>1425.78</v>
      </c>
      <c r="K25" s="269">
        <f>2376.3*40%</f>
        <v>950.5200000000001</v>
      </c>
      <c r="L25" s="269">
        <v>0</v>
      </c>
      <c r="M25" s="269">
        <v>0</v>
      </c>
      <c r="N25" s="269">
        <f t="shared" ref="N25:N28" si="10">SUM(K25:M25)</f>
        <v>950.5200000000001</v>
      </c>
      <c r="O25" s="269">
        <f t="shared" ref="O25" si="11">G25+K25</f>
        <v>2376.3000000000002</v>
      </c>
      <c r="P25" s="269">
        <f t="shared" ref="P25" si="12">H25+L25</f>
        <v>0</v>
      </c>
      <c r="Q25" s="269">
        <f t="shared" ref="Q25" si="13">I25+M25</f>
        <v>0</v>
      </c>
      <c r="R25" s="269">
        <f t="shared" si="7"/>
        <v>2376.3000000000002</v>
      </c>
      <c r="S25" s="269">
        <f t="shared" si="8"/>
        <v>0</v>
      </c>
      <c r="T25" s="269">
        <f t="shared" si="8"/>
        <v>0</v>
      </c>
      <c r="U25" s="269">
        <f t="shared" si="8"/>
        <v>0</v>
      </c>
      <c r="V25" s="269">
        <f>SUM(S25:U25)</f>
        <v>0</v>
      </c>
    </row>
    <row r="26" spans="1:28" s="532" customFormat="1">
      <c r="A26" s="531">
        <v>8</v>
      </c>
      <c r="B26" s="82" t="s">
        <v>813</v>
      </c>
      <c r="C26" s="269">
        <v>684.7</v>
      </c>
      <c r="D26" s="269">
        <v>0</v>
      </c>
      <c r="E26" s="269">
        <v>0</v>
      </c>
      <c r="F26" s="269">
        <f t="shared" ref="F26:F27" si="14">SUM(C26:E26)</f>
        <v>684.7</v>
      </c>
      <c r="G26" s="269">
        <v>0</v>
      </c>
      <c r="H26" s="269">
        <v>0</v>
      </c>
      <c r="I26" s="269">
        <v>0</v>
      </c>
      <c r="J26" s="269">
        <f t="shared" si="9"/>
        <v>0</v>
      </c>
      <c r="K26" s="269">
        <v>0</v>
      </c>
      <c r="L26" s="269">
        <v>0</v>
      </c>
      <c r="M26" s="269">
        <v>0</v>
      </c>
      <c r="N26" s="269">
        <f t="shared" si="10"/>
        <v>0</v>
      </c>
      <c r="O26" s="269">
        <v>0</v>
      </c>
      <c r="P26" s="269">
        <v>0</v>
      </c>
      <c r="Q26" s="269">
        <v>0</v>
      </c>
      <c r="R26" s="269">
        <f t="shared" si="7"/>
        <v>0</v>
      </c>
      <c r="S26" s="269">
        <f t="shared" ref="S26:S27" si="15">C26-O26</f>
        <v>684.7</v>
      </c>
      <c r="T26" s="269">
        <f t="shared" ref="T26:T27" si="16">D26-P26</f>
        <v>0</v>
      </c>
      <c r="U26" s="269">
        <f t="shared" ref="U26:U27" si="17">E26-Q26</f>
        <v>0</v>
      </c>
      <c r="V26" s="269">
        <f t="shared" ref="V26:V27" si="18">SUM(S26:U26)</f>
        <v>684.7</v>
      </c>
    </row>
    <row r="27" spans="1:28" s="532" customFormat="1">
      <c r="A27" s="531">
        <v>9</v>
      </c>
      <c r="B27" s="82" t="s">
        <v>814</v>
      </c>
      <c r="C27" s="269">
        <v>806.13</v>
      </c>
      <c r="D27" s="269">
        <v>0</v>
      </c>
      <c r="E27" s="269">
        <v>0</v>
      </c>
      <c r="F27" s="269">
        <f t="shared" si="14"/>
        <v>806.13</v>
      </c>
      <c r="G27" s="269">
        <v>0</v>
      </c>
      <c r="H27" s="269">
        <v>0</v>
      </c>
      <c r="I27" s="269">
        <v>0</v>
      </c>
      <c r="J27" s="269">
        <f t="shared" si="9"/>
        <v>0</v>
      </c>
      <c r="K27" s="269">
        <v>0</v>
      </c>
      <c r="L27" s="269">
        <v>0</v>
      </c>
      <c r="M27" s="269">
        <v>0</v>
      </c>
      <c r="N27" s="269">
        <f t="shared" si="10"/>
        <v>0</v>
      </c>
      <c r="O27" s="269">
        <v>0</v>
      </c>
      <c r="P27" s="269">
        <v>0</v>
      </c>
      <c r="Q27" s="269">
        <v>0</v>
      </c>
      <c r="R27" s="269">
        <f t="shared" si="7"/>
        <v>0</v>
      </c>
      <c r="S27" s="269">
        <f t="shared" si="15"/>
        <v>806.13</v>
      </c>
      <c r="T27" s="269">
        <f t="shared" si="16"/>
        <v>0</v>
      </c>
      <c r="U27" s="269">
        <f t="shared" si="17"/>
        <v>0</v>
      </c>
      <c r="V27" s="269">
        <f t="shared" si="18"/>
        <v>806.13</v>
      </c>
    </row>
    <row r="28" spans="1:28">
      <c r="A28" s="8"/>
      <c r="B28" s="82" t="s">
        <v>85</v>
      </c>
      <c r="C28" s="269">
        <f>SUM(C24:C27)</f>
        <v>3867.13</v>
      </c>
      <c r="D28" s="269">
        <f t="shared" ref="D28:V28" si="19">SUM(D24:D27)</f>
        <v>0</v>
      </c>
      <c r="E28" s="269">
        <f t="shared" si="19"/>
        <v>0</v>
      </c>
      <c r="F28" s="269">
        <f t="shared" si="19"/>
        <v>3867.13</v>
      </c>
      <c r="G28" s="269">
        <f t="shared" si="19"/>
        <v>1425.78</v>
      </c>
      <c r="H28" s="269">
        <f t="shared" si="19"/>
        <v>0</v>
      </c>
      <c r="I28" s="269">
        <f t="shared" si="19"/>
        <v>0</v>
      </c>
      <c r="J28" s="269">
        <f t="shared" si="9"/>
        <v>1425.78</v>
      </c>
      <c r="K28" s="269">
        <f t="shared" si="19"/>
        <v>950.5200000000001</v>
      </c>
      <c r="L28" s="269">
        <f t="shared" si="19"/>
        <v>0</v>
      </c>
      <c r="M28" s="269">
        <f t="shared" si="19"/>
        <v>0</v>
      </c>
      <c r="N28" s="269">
        <f t="shared" si="10"/>
        <v>950.5200000000001</v>
      </c>
      <c r="O28" s="269">
        <f t="shared" si="19"/>
        <v>2376.3000000000002</v>
      </c>
      <c r="P28" s="269">
        <f t="shared" si="19"/>
        <v>0</v>
      </c>
      <c r="Q28" s="269">
        <f t="shared" si="19"/>
        <v>0</v>
      </c>
      <c r="R28" s="269">
        <f t="shared" si="19"/>
        <v>2376.3000000000002</v>
      </c>
      <c r="S28" s="269">
        <f t="shared" si="19"/>
        <v>1490.83</v>
      </c>
      <c r="T28" s="269">
        <f t="shared" si="19"/>
        <v>0</v>
      </c>
      <c r="U28" s="269">
        <f t="shared" si="19"/>
        <v>0</v>
      </c>
      <c r="V28" s="269">
        <f t="shared" si="19"/>
        <v>1490.83</v>
      </c>
    </row>
    <row r="29" spans="1:28" s="614" customFormat="1">
      <c r="A29" s="546"/>
      <c r="B29" s="621" t="s">
        <v>32</v>
      </c>
      <c r="C29" s="269">
        <f>C28+C22</f>
        <v>23829.866883999999</v>
      </c>
      <c r="D29" s="269">
        <f>D28+D22</f>
        <v>5237.9137499999997</v>
      </c>
      <c r="E29" s="269">
        <f>E28+E22</f>
        <v>2734.8893659999999</v>
      </c>
      <c r="F29" s="269">
        <f>SUM(C29:E29)</f>
        <v>31802.67</v>
      </c>
      <c r="G29" s="269">
        <f t="shared" ref="G29:V29" si="20">G28+G22</f>
        <v>14302.4046516</v>
      </c>
      <c r="H29" s="269">
        <f t="shared" si="20"/>
        <v>3378.627375</v>
      </c>
      <c r="I29" s="269">
        <f t="shared" si="20"/>
        <v>1764.0939733999999</v>
      </c>
      <c r="J29" s="269">
        <f t="shared" si="20"/>
        <v>19445.125999999997</v>
      </c>
      <c r="K29" s="269">
        <f t="shared" si="20"/>
        <v>12800.792678399999</v>
      </c>
      <c r="L29" s="269">
        <f t="shared" si="20"/>
        <v>1964.3820000000001</v>
      </c>
      <c r="M29" s="269">
        <f t="shared" si="20"/>
        <v>1025.6572011999999</v>
      </c>
      <c r="N29" s="269">
        <f t="shared" si="20"/>
        <v>15790.831879599999</v>
      </c>
      <c r="O29" s="269">
        <f t="shared" si="20"/>
        <v>27103.197329999995</v>
      </c>
      <c r="P29" s="269">
        <f t="shared" si="20"/>
        <v>5343.0093749999996</v>
      </c>
      <c r="Q29" s="269">
        <f t="shared" si="20"/>
        <v>2789.7511745999991</v>
      </c>
      <c r="R29" s="269">
        <f>R28+R22</f>
        <v>35235.957879600006</v>
      </c>
      <c r="S29" s="269">
        <f t="shared" si="20"/>
        <v>1545.010972</v>
      </c>
      <c r="T29" s="269">
        <f t="shared" si="20"/>
        <v>14.216249999999974</v>
      </c>
      <c r="U29" s="269">
        <f t="shared" si="20"/>
        <v>7.4348983999999589</v>
      </c>
      <c r="V29" s="269">
        <f t="shared" si="20"/>
        <v>1566.6621203999998</v>
      </c>
    </row>
    <row r="31" spans="1:28" s="278" customFormat="1"/>
    <row r="32" spans="1:28" s="278" customFormat="1">
      <c r="R32" s="363"/>
    </row>
    <row r="33" spans="18:22" s="278" customFormat="1"/>
    <row r="34" spans="18:22" s="278" customFormat="1"/>
    <row r="37" spans="18:22" ht="14.25">
      <c r="R37" s="732" t="s">
        <v>908</v>
      </c>
      <c r="S37" s="732"/>
      <c r="T37" s="732"/>
      <c r="U37" s="732"/>
      <c r="V37" s="732"/>
    </row>
    <row r="38" spans="18:22" ht="14.25">
      <c r="R38" s="732" t="s">
        <v>646</v>
      </c>
      <c r="S38" s="732"/>
      <c r="T38" s="732"/>
      <c r="U38" s="732"/>
      <c r="V38" s="732"/>
    </row>
  </sheetData>
  <mergeCells count="17"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U10:V10"/>
    <mergeCell ref="S11:V12"/>
    <mergeCell ref="G2:O2"/>
    <mergeCell ref="R38:V38"/>
    <mergeCell ref="R37:V37"/>
    <mergeCell ref="A3:V3"/>
    <mergeCell ref="A4:V4"/>
    <mergeCell ref="A6:V6"/>
  </mergeCells>
  <printOptions horizontalCentered="1"/>
  <pageMargins left="0.4" right="0.28999999999999998" top="0.49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90" zoomScaleNormal="70" zoomScaleSheetLayoutView="90" workbookViewId="0">
      <selection sqref="A1:K1"/>
    </sheetView>
  </sheetViews>
  <sheetFormatPr defaultRowHeight="12.75"/>
  <cols>
    <col min="1" max="1" width="9.140625" style="173"/>
    <col min="2" max="2" width="18.42578125" style="173" customWidth="1"/>
    <col min="3" max="3" width="16.7109375" style="173" customWidth="1"/>
    <col min="4" max="4" width="9.42578125" style="173" customWidth="1"/>
    <col min="5" max="5" width="9" style="173" customWidth="1"/>
    <col min="6" max="6" width="11.5703125" style="173" customWidth="1"/>
    <col min="7" max="8" width="10.42578125" style="173" customWidth="1"/>
    <col min="9" max="10" width="10.42578125" style="128" customWidth="1"/>
    <col min="11" max="11" width="10.5703125" style="173" customWidth="1"/>
    <col min="12" max="12" width="10.42578125" style="173" customWidth="1"/>
    <col min="13" max="13" width="11.5703125" style="173" customWidth="1"/>
    <col min="14" max="14" width="13" style="173" customWidth="1"/>
    <col min="15" max="15" width="13" style="610" customWidth="1"/>
    <col min="16" max="16384" width="9.140625" style="173"/>
  </cols>
  <sheetData>
    <row r="1" spans="1:17" ht="15.75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N1" s="212" t="s">
        <v>511</v>
      </c>
      <c r="O1" s="212"/>
    </row>
    <row r="2" spans="1:17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608"/>
    </row>
    <row r="4" spans="1:17" ht="15.75">
      <c r="A4" s="702" t="s">
        <v>510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607"/>
    </row>
    <row r="5" spans="1:17">
      <c r="A5" s="76" t="s">
        <v>658</v>
      </c>
      <c r="B5" s="76"/>
      <c r="C5" s="76"/>
      <c r="D5" s="76"/>
      <c r="E5" s="76"/>
      <c r="F5" s="76"/>
      <c r="G5" s="76"/>
      <c r="L5" s="793" t="s">
        <v>774</v>
      </c>
      <c r="M5" s="793"/>
      <c r="N5" s="793"/>
      <c r="O5" s="611"/>
    </row>
    <row r="6" spans="1:17" ht="28.5" customHeight="1">
      <c r="A6" s="795" t="s">
        <v>2</v>
      </c>
      <c r="B6" s="795" t="s">
        <v>33</v>
      </c>
      <c r="C6" s="668" t="s">
        <v>390</v>
      </c>
      <c r="D6" s="678" t="s">
        <v>444</v>
      </c>
      <c r="E6" s="678"/>
      <c r="F6" s="678"/>
      <c r="G6" s="678"/>
      <c r="H6" s="679"/>
      <c r="I6" s="923" t="s">
        <v>537</v>
      </c>
      <c r="J6" s="923" t="s">
        <v>538</v>
      </c>
      <c r="K6" s="668" t="s">
        <v>490</v>
      </c>
      <c r="L6" s="668"/>
      <c r="M6" s="668"/>
      <c r="N6" s="668"/>
      <c r="O6" s="58"/>
    </row>
    <row r="7" spans="1:17" ht="39" customHeight="1">
      <c r="A7" s="796"/>
      <c r="B7" s="796"/>
      <c r="C7" s="668"/>
      <c r="D7" s="150" t="s">
        <v>443</v>
      </c>
      <c r="E7" s="150" t="s">
        <v>391</v>
      </c>
      <c r="F7" s="160" t="s">
        <v>392</v>
      </c>
      <c r="G7" s="150" t="s">
        <v>393</v>
      </c>
      <c r="H7" s="150" t="s">
        <v>43</v>
      </c>
      <c r="I7" s="923"/>
      <c r="J7" s="923"/>
      <c r="K7" s="150" t="s">
        <v>394</v>
      </c>
      <c r="L7" s="14" t="s">
        <v>491</v>
      </c>
      <c r="M7" s="150" t="s">
        <v>395</v>
      </c>
      <c r="N7" s="14" t="s">
        <v>396</v>
      </c>
      <c r="O7" s="612"/>
    </row>
    <row r="8" spans="1:17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264</v>
      </c>
      <c r="H8" s="149" t="s">
        <v>265</v>
      </c>
      <c r="I8" s="213" t="s">
        <v>284</v>
      </c>
      <c r="J8" s="213" t="s">
        <v>285</v>
      </c>
      <c r="K8" s="149" t="s">
        <v>286</v>
      </c>
      <c r="L8" s="149" t="s">
        <v>314</v>
      </c>
      <c r="M8" s="149" t="s">
        <v>315</v>
      </c>
      <c r="N8" s="149" t="s">
        <v>316</v>
      </c>
      <c r="O8" s="284"/>
    </row>
    <row r="9" spans="1:17">
      <c r="A9" s="204">
        <v>1</v>
      </c>
      <c r="B9" s="204" t="s">
        <v>624</v>
      </c>
      <c r="C9" s="596">
        <v>1156</v>
      </c>
      <c r="D9" s="596">
        <v>246.88000000000005</v>
      </c>
      <c r="E9" s="596">
        <v>22.299999999999997</v>
      </c>
      <c r="F9" s="596">
        <v>341.78</v>
      </c>
      <c r="G9" s="596">
        <v>52.900000000000013</v>
      </c>
      <c r="H9" s="596">
        <v>492.13999999999993</v>
      </c>
      <c r="I9" s="596">
        <v>1156</v>
      </c>
      <c r="J9" s="596">
        <v>1156</v>
      </c>
      <c r="K9" s="596">
        <v>1156</v>
      </c>
      <c r="L9" s="596">
        <v>1156</v>
      </c>
      <c r="M9" s="596">
        <v>150.85999999999999</v>
      </c>
      <c r="N9" s="596">
        <v>1156</v>
      </c>
      <c r="O9" s="618"/>
      <c r="P9" s="576"/>
      <c r="Q9" s="576"/>
    </row>
    <row r="10" spans="1:17">
      <c r="A10" s="204">
        <f>A9+1</f>
        <v>2</v>
      </c>
      <c r="B10" s="204" t="s">
        <v>589</v>
      </c>
      <c r="C10" s="596">
        <v>1315</v>
      </c>
      <c r="D10" s="596">
        <v>228</v>
      </c>
      <c r="E10" s="596">
        <v>299</v>
      </c>
      <c r="F10" s="596">
        <v>609</v>
      </c>
      <c r="G10" s="596">
        <v>72</v>
      </c>
      <c r="H10" s="596">
        <v>107</v>
      </c>
      <c r="I10" s="596">
        <v>1315</v>
      </c>
      <c r="J10" s="596">
        <v>1315</v>
      </c>
      <c r="K10" s="596">
        <v>1315</v>
      </c>
      <c r="L10" s="596">
        <v>1315</v>
      </c>
      <c r="M10" s="596">
        <v>515</v>
      </c>
      <c r="N10" s="596">
        <v>1315</v>
      </c>
      <c r="O10" s="618"/>
      <c r="P10" s="576"/>
      <c r="Q10" s="576"/>
    </row>
    <row r="11" spans="1:17">
      <c r="A11" s="204">
        <f t="shared" ref="A11:A41" si="0">A10+1</f>
        <v>3</v>
      </c>
      <c r="B11" s="204" t="s">
        <v>625</v>
      </c>
      <c r="C11" s="596">
        <v>866</v>
      </c>
      <c r="D11" s="596">
        <v>0</v>
      </c>
      <c r="E11" s="596">
        <v>866</v>
      </c>
      <c r="F11" s="596">
        <v>0</v>
      </c>
      <c r="G11" s="596">
        <v>0</v>
      </c>
      <c r="H11" s="596">
        <v>0</v>
      </c>
      <c r="I11" s="596">
        <v>866</v>
      </c>
      <c r="J11" s="596">
        <v>866</v>
      </c>
      <c r="K11" s="596">
        <v>866</v>
      </c>
      <c r="L11" s="596">
        <v>866</v>
      </c>
      <c r="M11" s="596">
        <v>95</v>
      </c>
      <c r="N11" s="596">
        <v>866</v>
      </c>
      <c r="O11" s="618"/>
      <c r="P11" s="576"/>
      <c r="Q11" s="576"/>
    </row>
    <row r="12" spans="1:17">
      <c r="A12" s="204">
        <f t="shared" si="0"/>
        <v>4</v>
      </c>
      <c r="B12" s="204" t="s">
        <v>590</v>
      </c>
      <c r="C12" s="596">
        <v>772</v>
      </c>
      <c r="D12" s="596">
        <v>218</v>
      </c>
      <c r="E12" s="596">
        <v>276</v>
      </c>
      <c r="F12" s="596">
        <v>152</v>
      </c>
      <c r="G12" s="596">
        <v>105</v>
      </c>
      <c r="H12" s="596">
        <v>21</v>
      </c>
      <c r="I12" s="596">
        <v>772</v>
      </c>
      <c r="J12" s="596">
        <v>772</v>
      </c>
      <c r="K12" s="596">
        <v>772</v>
      </c>
      <c r="L12" s="596">
        <v>772</v>
      </c>
      <c r="M12" s="596">
        <v>199</v>
      </c>
      <c r="N12" s="596">
        <v>772</v>
      </c>
      <c r="O12" s="618"/>
      <c r="P12" s="576"/>
      <c r="Q12" s="576"/>
    </row>
    <row r="13" spans="1:17">
      <c r="A13" s="204">
        <f t="shared" si="0"/>
        <v>5</v>
      </c>
      <c r="B13" s="204" t="s">
        <v>591</v>
      </c>
      <c r="C13" s="596">
        <v>511</v>
      </c>
      <c r="D13" s="596">
        <v>36</v>
      </c>
      <c r="E13" s="596">
        <v>300</v>
      </c>
      <c r="F13" s="596">
        <v>110</v>
      </c>
      <c r="G13" s="596">
        <v>0</v>
      </c>
      <c r="H13" s="596">
        <v>65</v>
      </c>
      <c r="I13" s="596">
        <v>511</v>
      </c>
      <c r="J13" s="596">
        <v>511</v>
      </c>
      <c r="K13" s="596">
        <v>511</v>
      </c>
      <c r="L13" s="596">
        <v>511</v>
      </c>
      <c r="M13" s="596">
        <v>93</v>
      </c>
      <c r="N13" s="596">
        <v>511</v>
      </c>
      <c r="O13" s="618"/>
      <c r="P13" s="576"/>
      <c r="Q13" s="576"/>
    </row>
    <row r="14" spans="1:17">
      <c r="A14" s="204">
        <f t="shared" si="0"/>
        <v>6</v>
      </c>
      <c r="B14" s="204" t="s">
        <v>592</v>
      </c>
      <c r="C14" s="596">
        <v>417</v>
      </c>
      <c r="D14" s="596">
        <v>61</v>
      </c>
      <c r="E14" s="596">
        <v>134</v>
      </c>
      <c r="F14" s="596">
        <v>167</v>
      </c>
      <c r="G14" s="596">
        <v>27</v>
      </c>
      <c r="H14" s="596">
        <v>28</v>
      </c>
      <c r="I14" s="596">
        <v>417</v>
      </c>
      <c r="J14" s="596">
        <v>417</v>
      </c>
      <c r="K14" s="596">
        <v>417</v>
      </c>
      <c r="L14" s="596">
        <v>417</v>
      </c>
      <c r="M14" s="596">
        <v>94</v>
      </c>
      <c r="N14" s="596">
        <v>417</v>
      </c>
      <c r="O14" s="618"/>
      <c r="P14" s="576"/>
      <c r="Q14" s="576"/>
    </row>
    <row r="15" spans="1:17">
      <c r="A15" s="204">
        <f t="shared" si="0"/>
        <v>7</v>
      </c>
      <c r="B15" s="204" t="s">
        <v>593</v>
      </c>
      <c r="C15" s="596">
        <v>462</v>
      </c>
      <c r="D15" s="596">
        <v>0</v>
      </c>
      <c r="E15" s="596">
        <v>294</v>
      </c>
      <c r="F15" s="596">
        <v>168</v>
      </c>
      <c r="G15" s="596">
        <v>0</v>
      </c>
      <c r="H15" s="596">
        <v>0</v>
      </c>
      <c r="I15" s="596">
        <v>462</v>
      </c>
      <c r="J15" s="596">
        <v>462</v>
      </c>
      <c r="K15" s="596">
        <v>462</v>
      </c>
      <c r="L15" s="596">
        <v>462</v>
      </c>
      <c r="M15" s="596">
        <v>83</v>
      </c>
      <c r="N15" s="596">
        <v>462</v>
      </c>
      <c r="O15" s="618"/>
      <c r="P15" s="576"/>
      <c r="Q15" s="576"/>
    </row>
    <row r="16" spans="1:17">
      <c r="A16" s="204">
        <f t="shared" si="0"/>
        <v>8</v>
      </c>
      <c r="B16" s="204" t="s">
        <v>594</v>
      </c>
      <c r="C16" s="596">
        <v>1008</v>
      </c>
      <c r="D16" s="596">
        <v>173</v>
      </c>
      <c r="E16" s="596">
        <v>360</v>
      </c>
      <c r="F16" s="596">
        <v>145</v>
      </c>
      <c r="G16" s="596">
        <v>0</v>
      </c>
      <c r="H16" s="596">
        <v>330</v>
      </c>
      <c r="I16" s="596">
        <v>1008</v>
      </c>
      <c r="J16" s="596">
        <v>1008</v>
      </c>
      <c r="K16" s="596">
        <v>1008</v>
      </c>
      <c r="L16" s="596">
        <v>1008</v>
      </c>
      <c r="M16" s="596">
        <v>866</v>
      </c>
      <c r="N16" s="596">
        <v>1008</v>
      </c>
      <c r="O16" s="618"/>
      <c r="P16" s="576"/>
      <c r="Q16" s="576"/>
    </row>
    <row r="17" spans="1:17">
      <c r="A17" s="204">
        <f t="shared" si="0"/>
        <v>9</v>
      </c>
      <c r="B17" s="204" t="s">
        <v>595</v>
      </c>
      <c r="C17" s="596">
        <v>641</v>
      </c>
      <c r="D17" s="596">
        <v>0</v>
      </c>
      <c r="E17" s="596">
        <v>195</v>
      </c>
      <c r="F17" s="596">
        <v>340</v>
      </c>
      <c r="G17" s="596">
        <v>14</v>
      </c>
      <c r="H17" s="596">
        <v>92</v>
      </c>
      <c r="I17" s="596">
        <v>641</v>
      </c>
      <c r="J17" s="596">
        <v>641</v>
      </c>
      <c r="K17" s="596">
        <v>641</v>
      </c>
      <c r="L17" s="596">
        <v>641</v>
      </c>
      <c r="M17" s="597">
        <v>200</v>
      </c>
      <c r="N17" s="596">
        <v>641</v>
      </c>
      <c r="O17" s="618"/>
      <c r="P17" s="576"/>
      <c r="Q17" s="576"/>
    </row>
    <row r="18" spans="1:17">
      <c r="A18" s="204">
        <f t="shared" si="0"/>
        <v>10</v>
      </c>
      <c r="B18" s="204" t="s">
        <v>596</v>
      </c>
      <c r="C18" s="596">
        <v>1241</v>
      </c>
      <c r="D18" s="596">
        <v>46</v>
      </c>
      <c r="E18" s="596">
        <v>567</v>
      </c>
      <c r="F18" s="596">
        <v>359</v>
      </c>
      <c r="G18" s="596">
        <v>0</v>
      </c>
      <c r="H18" s="596">
        <v>269</v>
      </c>
      <c r="I18" s="596">
        <v>1241</v>
      </c>
      <c r="J18" s="596">
        <v>1241</v>
      </c>
      <c r="K18" s="596">
        <v>1241</v>
      </c>
      <c r="L18" s="596">
        <v>1241</v>
      </c>
      <c r="M18" s="596">
        <v>134</v>
      </c>
      <c r="N18" s="596">
        <v>1241</v>
      </c>
      <c r="O18" s="618"/>
      <c r="P18" s="576"/>
      <c r="Q18" s="576"/>
    </row>
    <row r="19" spans="1:17">
      <c r="A19" s="204">
        <f t="shared" si="0"/>
        <v>11</v>
      </c>
      <c r="B19" s="204" t="s">
        <v>626</v>
      </c>
      <c r="C19" s="596">
        <v>1009</v>
      </c>
      <c r="D19" s="596">
        <v>76</v>
      </c>
      <c r="E19" s="596">
        <v>151</v>
      </c>
      <c r="F19" s="596">
        <v>538</v>
      </c>
      <c r="G19" s="596">
        <v>47</v>
      </c>
      <c r="H19" s="596">
        <v>197</v>
      </c>
      <c r="I19" s="596">
        <v>1009</v>
      </c>
      <c r="J19" s="596">
        <v>1009</v>
      </c>
      <c r="K19" s="596">
        <v>1009</v>
      </c>
      <c r="L19" s="596">
        <v>1009</v>
      </c>
      <c r="M19" s="596">
        <v>559</v>
      </c>
      <c r="N19" s="596">
        <v>1009</v>
      </c>
      <c r="O19" s="618"/>
      <c r="P19" s="576"/>
      <c r="Q19" s="576"/>
    </row>
    <row r="20" spans="1:17">
      <c r="A20" s="204">
        <f t="shared" si="0"/>
        <v>12</v>
      </c>
      <c r="B20" s="204" t="s">
        <v>597</v>
      </c>
      <c r="C20" s="596">
        <v>902</v>
      </c>
      <c r="D20" s="596">
        <v>205</v>
      </c>
      <c r="E20" s="596">
        <v>602</v>
      </c>
      <c r="F20" s="596">
        <v>0</v>
      </c>
      <c r="G20" s="596">
        <v>0</v>
      </c>
      <c r="H20" s="596">
        <v>95</v>
      </c>
      <c r="I20" s="596">
        <v>902</v>
      </c>
      <c r="J20" s="596">
        <v>902</v>
      </c>
      <c r="K20" s="596">
        <v>902</v>
      </c>
      <c r="L20" s="596">
        <v>902</v>
      </c>
      <c r="M20" s="596">
        <v>902</v>
      </c>
      <c r="N20" s="596">
        <v>902</v>
      </c>
      <c r="O20" s="618"/>
      <c r="P20" s="576"/>
      <c r="Q20" s="576"/>
    </row>
    <row r="21" spans="1:17">
      <c r="A21" s="204">
        <f t="shared" si="0"/>
        <v>13</v>
      </c>
      <c r="B21" s="204" t="s">
        <v>598</v>
      </c>
      <c r="C21" s="596">
        <v>857</v>
      </c>
      <c r="D21" s="596">
        <v>0</v>
      </c>
      <c r="E21" s="596">
        <v>346</v>
      </c>
      <c r="F21" s="596">
        <v>297</v>
      </c>
      <c r="G21" s="596">
        <v>0</v>
      </c>
      <c r="H21" s="596">
        <v>214</v>
      </c>
      <c r="I21" s="596">
        <v>857</v>
      </c>
      <c r="J21" s="596">
        <v>857</v>
      </c>
      <c r="K21" s="596">
        <v>857</v>
      </c>
      <c r="L21" s="596">
        <v>857</v>
      </c>
      <c r="M21" s="596">
        <v>576</v>
      </c>
      <c r="N21" s="596">
        <v>857</v>
      </c>
      <c r="O21" s="618"/>
      <c r="P21" s="576"/>
      <c r="Q21" s="576"/>
    </row>
    <row r="22" spans="1:17">
      <c r="A22" s="204">
        <f t="shared" si="0"/>
        <v>14</v>
      </c>
      <c r="B22" s="204" t="s">
        <v>627</v>
      </c>
      <c r="C22" s="596">
        <v>769</v>
      </c>
      <c r="D22" s="596">
        <v>0</v>
      </c>
      <c r="E22" s="596">
        <v>260</v>
      </c>
      <c r="F22" s="596">
        <v>180</v>
      </c>
      <c r="G22" s="596">
        <v>222</v>
      </c>
      <c r="H22" s="596">
        <v>107</v>
      </c>
      <c r="I22" s="596">
        <v>769</v>
      </c>
      <c r="J22" s="596">
        <v>769</v>
      </c>
      <c r="K22" s="596">
        <v>769</v>
      </c>
      <c r="L22" s="596">
        <v>769</v>
      </c>
      <c r="M22" s="596">
        <v>41</v>
      </c>
      <c r="N22" s="596">
        <v>769</v>
      </c>
      <c r="O22" s="618"/>
      <c r="P22" s="576"/>
      <c r="Q22" s="576"/>
    </row>
    <row r="23" spans="1:17">
      <c r="A23" s="204">
        <f t="shared" si="0"/>
        <v>15</v>
      </c>
      <c r="B23" s="204" t="s">
        <v>599</v>
      </c>
      <c r="C23" s="596">
        <v>891</v>
      </c>
      <c r="D23" s="596">
        <v>0</v>
      </c>
      <c r="E23" s="596">
        <v>728</v>
      </c>
      <c r="F23" s="596">
        <v>163</v>
      </c>
      <c r="G23" s="596">
        <v>0</v>
      </c>
      <c r="H23" s="596">
        <v>0</v>
      </c>
      <c r="I23" s="596">
        <v>891</v>
      </c>
      <c r="J23" s="596">
        <v>891</v>
      </c>
      <c r="K23" s="596">
        <v>891</v>
      </c>
      <c r="L23" s="596">
        <v>891</v>
      </c>
      <c r="M23" s="596">
        <v>891</v>
      </c>
      <c r="N23" s="596">
        <v>891</v>
      </c>
      <c r="O23" s="618"/>
      <c r="P23" s="576"/>
      <c r="Q23" s="576"/>
    </row>
    <row r="24" spans="1:17">
      <c r="A24" s="204">
        <f t="shared" si="0"/>
        <v>16</v>
      </c>
      <c r="B24" s="204" t="s">
        <v>600</v>
      </c>
      <c r="C24" s="596">
        <v>514</v>
      </c>
      <c r="D24" s="596">
        <v>25</v>
      </c>
      <c r="E24" s="596">
        <v>325</v>
      </c>
      <c r="F24" s="596">
        <v>12</v>
      </c>
      <c r="G24" s="596">
        <v>25.999999999999993</v>
      </c>
      <c r="H24" s="596">
        <v>126</v>
      </c>
      <c r="I24" s="596">
        <v>514</v>
      </c>
      <c r="J24" s="596">
        <v>514</v>
      </c>
      <c r="K24" s="596">
        <v>514</v>
      </c>
      <c r="L24" s="596">
        <v>514</v>
      </c>
      <c r="M24" s="596">
        <v>85</v>
      </c>
      <c r="N24" s="596">
        <v>514</v>
      </c>
      <c r="O24" s="618"/>
      <c r="P24" s="576"/>
      <c r="Q24" s="576"/>
    </row>
    <row r="25" spans="1:17" s="527" customFormat="1">
      <c r="A25" s="204">
        <f t="shared" si="0"/>
        <v>17</v>
      </c>
      <c r="B25" s="529" t="s">
        <v>684</v>
      </c>
      <c r="C25" s="596">
        <v>409</v>
      </c>
      <c r="D25" s="596">
        <v>6</v>
      </c>
      <c r="E25" s="596">
        <v>54</v>
      </c>
      <c r="F25" s="596">
        <v>251</v>
      </c>
      <c r="G25" s="596">
        <v>5</v>
      </c>
      <c r="H25" s="596">
        <v>93</v>
      </c>
      <c r="I25" s="596">
        <v>409</v>
      </c>
      <c r="J25" s="596">
        <v>409</v>
      </c>
      <c r="K25" s="596">
        <v>409</v>
      </c>
      <c r="L25" s="596">
        <v>409</v>
      </c>
      <c r="M25" s="596">
        <v>64</v>
      </c>
      <c r="N25" s="596">
        <v>409</v>
      </c>
      <c r="O25" s="618"/>
      <c r="P25" s="576"/>
      <c r="Q25" s="576"/>
    </row>
    <row r="26" spans="1:17">
      <c r="A26" s="204">
        <f t="shared" si="0"/>
        <v>18</v>
      </c>
      <c r="B26" s="204" t="s">
        <v>601</v>
      </c>
      <c r="C26" s="596">
        <v>832</v>
      </c>
      <c r="D26" s="596">
        <v>0</v>
      </c>
      <c r="E26" s="596">
        <v>401</v>
      </c>
      <c r="F26" s="596">
        <v>135</v>
      </c>
      <c r="G26" s="596">
        <v>0</v>
      </c>
      <c r="H26" s="596">
        <v>296</v>
      </c>
      <c r="I26" s="596">
        <v>832</v>
      </c>
      <c r="J26" s="596">
        <v>832</v>
      </c>
      <c r="K26" s="596">
        <v>832</v>
      </c>
      <c r="L26" s="596">
        <v>832</v>
      </c>
      <c r="M26" s="596">
        <v>381</v>
      </c>
      <c r="N26" s="596">
        <v>832</v>
      </c>
      <c r="O26" s="618"/>
      <c r="P26" s="576"/>
      <c r="Q26" s="576"/>
    </row>
    <row r="27" spans="1:17">
      <c r="A27" s="204">
        <f t="shared" si="0"/>
        <v>19</v>
      </c>
      <c r="B27" s="204" t="s">
        <v>602</v>
      </c>
      <c r="C27" s="596">
        <v>1430</v>
      </c>
      <c r="D27" s="596">
        <v>113</v>
      </c>
      <c r="E27" s="596">
        <v>751</v>
      </c>
      <c r="F27" s="596">
        <v>383</v>
      </c>
      <c r="G27" s="596">
        <v>27</v>
      </c>
      <c r="H27" s="596">
        <v>156</v>
      </c>
      <c r="I27" s="596">
        <v>1430</v>
      </c>
      <c r="J27" s="596">
        <v>1430</v>
      </c>
      <c r="K27" s="596">
        <v>1430</v>
      </c>
      <c r="L27" s="596">
        <v>1430</v>
      </c>
      <c r="M27" s="596">
        <v>332</v>
      </c>
      <c r="N27" s="596">
        <v>1430</v>
      </c>
      <c r="O27" s="618"/>
      <c r="P27" s="576"/>
      <c r="Q27" s="576"/>
    </row>
    <row r="28" spans="1:17" s="527" customFormat="1">
      <c r="A28" s="204">
        <f t="shared" si="0"/>
        <v>20</v>
      </c>
      <c r="B28" s="529" t="s">
        <v>683</v>
      </c>
      <c r="C28" s="596">
        <v>492</v>
      </c>
      <c r="D28" s="596">
        <v>0</v>
      </c>
      <c r="E28" s="596">
        <v>492</v>
      </c>
      <c r="F28" s="596">
        <v>0</v>
      </c>
      <c r="G28" s="596">
        <v>0</v>
      </c>
      <c r="H28" s="596">
        <v>0</v>
      </c>
      <c r="I28" s="596">
        <v>492</v>
      </c>
      <c r="J28" s="596">
        <v>492</v>
      </c>
      <c r="K28" s="596">
        <v>492</v>
      </c>
      <c r="L28" s="596">
        <v>492</v>
      </c>
      <c r="M28" s="596">
        <v>492</v>
      </c>
      <c r="N28" s="596">
        <v>492</v>
      </c>
      <c r="O28" s="618"/>
      <c r="P28" s="576"/>
      <c r="Q28" s="576"/>
    </row>
    <row r="29" spans="1:17">
      <c r="A29" s="204">
        <f t="shared" si="0"/>
        <v>21</v>
      </c>
      <c r="B29" s="529" t="s">
        <v>628</v>
      </c>
      <c r="C29" s="596">
        <v>767</v>
      </c>
      <c r="D29" s="596">
        <v>193</v>
      </c>
      <c r="E29" s="596">
        <v>118</v>
      </c>
      <c r="F29" s="596">
        <v>173</v>
      </c>
      <c r="G29" s="596">
        <v>0</v>
      </c>
      <c r="H29" s="596">
        <v>283</v>
      </c>
      <c r="I29" s="596">
        <v>767</v>
      </c>
      <c r="J29" s="596">
        <v>767</v>
      </c>
      <c r="K29" s="596">
        <v>767</v>
      </c>
      <c r="L29" s="596">
        <v>767</v>
      </c>
      <c r="M29" s="596">
        <v>86</v>
      </c>
      <c r="N29" s="596">
        <v>767</v>
      </c>
      <c r="O29" s="618"/>
      <c r="P29" s="576"/>
      <c r="Q29" s="576"/>
    </row>
    <row r="30" spans="1:17">
      <c r="A30" s="204">
        <f t="shared" si="0"/>
        <v>22</v>
      </c>
      <c r="B30" s="204" t="s">
        <v>603</v>
      </c>
      <c r="C30" s="596">
        <v>1208</v>
      </c>
      <c r="D30" s="596">
        <v>308</v>
      </c>
      <c r="E30" s="596">
        <v>701</v>
      </c>
      <c r="F30" s="596">
        <v>85</v>
      </c>
      <c r="G30" s="596">
        <v>31</v>
      </c>
      <c r="H30" s="596">
        <v>83</v>
      </c>
      <c r="I30" s="596">
        <v>1208</v>
      </c>
      <c r="J30" s="596">
        <v>1208</v>
      </c>
      <c r="K30" s="596">
        <v>1208</v>
      </c>
      <c r="L30" s="596">
        <v>1208</v>
      </c>
      <c r="M30" s="596">
        <v>941</v>
      </c>
      <c r="N30" s="596">
        <v>1208</v>
      </c>
      <c r="O30" s="618"/>
      <c r="P30" s="576"/>
      <c r="Q30" s="576"/>
    </row>
    <row r="31" spans="1:17">
      <c r="A31" s="204">
        <f t="shared" si="0"/>
        <v>23</v>
      </c>
      <c r="B31" s="204" t="s">
        <v>604</v>
      </c>
      <c r="C31" s="596">
        <v>529</v>
      </c>
      <c r="D31" s="596">
        <v>82</v>
      </c>
      <c r="E31" s="596">
        <v>133</v>
      </c>
      <c r="F31" s="596">
        <v>285</v>
      </c>
      <c r="G31" s="596">
        <v>6</v>
      </c>
      <c r="H31" s="596">
        <v>23</v>
      </c>
      <c r="I31" s="596">
        <v>529</v>
      </c>
      <c r="J31" s="596">
        <v>529</v>
      </c>
      <c r="K31" s="596">
        <v>529</v>
      </c>
      <c r="L31" s="596">
        <v>529</v>
      </c>
      <c r="M31" s="596">
        <v>67</v>
      </c>
      <c r="N31" s="596">
        <v>529</v>
      </c>
      <c r="O31" s="618"/>
      <c r="P31" s="576"/>
      <c r="Q31" s="576"/>
    </row>
    <row r="32" spans="1:17">
      <c r="A32" s="204">
        <f t="shared" si="0"/>
        <v>24</v>
      </c>
      <c r="B32" s="204" t="s">
        <v>605</v>
      </c>
      <c r="C32" s="596">
        <v>480</v>
      </c>
      <c r="D32" s="596">
        <v>83</v>
      </c>
      <c r="E32" s="596">
        <v>291</v>
      </c>
      <c r="F32" s="596">
        <v>58</v>
      </c>
      <c r="G32" s="596">
        <v>12</v>
      </c>
      <c r="H32" s="596">
        <v>36</v>
      </c>
      <c r="I32" s="596">
        <v>480</v>
      </c>
      <c r="J32" s="596">
        <v>480</v>
      </c>
      <c r="K32" s="596">
        <v>480</v>
      </c>
      <c r="L32" s="596">
        <v>480</v>
      </c>
      <c r="M32" s="596">
        <v>139</v>
      </c>
      <c r="N32" s="596">
        <v>480</v>
      </c>
      <c r="O32" s="618"/>
      <c r="P32" s="576"/>
      <c r="Q32" s="576"/>
    </row>
    <row r="33" spans="1:17">
      <c r="A33" s="204">
        <f t="shared" si="0"/>
        <v>25</v>
      </c>
      <c r="B33" s="204" t="s">
        <v>606</v>
      </c>
      <c r="C33" s="596">
        <v>1320</v>
      </c>
      <c r="D33" s="596">
        <v>202</v>
      </c>
      <c r="E33" s="596">
        <v>649</v>
      </c>
      <c r="F33" s="596">
        <v>81</v>
      </c>
      <c r="G33" s="596">
        <v>85</v>
      </c>
      <c r="H33" s="596">
        <v>303</v>
      </c>
      <c r="I33" s="596">
        <v>1320</v>
      </c>
      <c r="J33" s="596">
        <v>1320</v>
      </c>
      <c r="K33" s="596">
        <v>1320</v>
      </c>
      <c r="L33" s="596">
        <v>1320</v>
      </c>
      <c r="M33" s="596">
        <v>407</v>
      </c>
      <c r="N33" s="596">
        <v>1320</v>
      </c>
      <c r="O33" s="618"/>
      <c r="P33" s="576"/>
      <c r="Q33" s="576"/>
    </row>
    <row r="34" spans="1:17">
      <c r="A34" s="204">
        <f t="shared" si="0"/>
        <v>26</v>
      </c>
      <c r="B34" s="204" t="s">
        <v>607</v>
      </c>
      <c r="C34" s="596">
        <v>1272</v>
      </c>
      <c r="D34" s="312">
        <v>0</v>
      </c>
      <c r="E34" s="312">
        <v>452</v>
      </c>
      <c r="F34" s="312">
        <v>0</v>
      </c>
      <c r="G34" s="312">
        <v>0</v>
      </c>
      <c r="H34" s="596">
        <v>820</v>
      </c>
      <c r="I34" s="596">
        <v>1272</v>
      </c>
      <c r="J34" s="596">
        <v>1272</v>
      </c>
      <c r="K34" s="596">
        <v>1272</v>
      </c>
      <c r="L34" s="596">
        <v>1272</v>
      </c>
      <c r="M34" s="312">
        <v>1272</v>
      </c>
      <c r="N34" s="596">
        <v>1272</v>
      </c>
      <c r="O34" s="618"/>
      <c r="P34" s="576"/>
      <c r="Q34" s="576"/>
    </row>
    <row r="35" spans="1:17">
      <c r="A35" s="204">
        <f t="shared" si="0"/>
        <v>27</v>
      </c>
      <c r="B35" s="204" t="s">
        <v>608</v>
      </c>
      <c r="C35" s="596">
        <v>963</v>
      </c>
      <c r="D35" s="312">
        <v>0</v>
      </c>
      <c r="E35" s="312">
        <v>402</v>
      </c>
      <c r="F35" s="312">
        <v>0</v>
      </c>
      <c r="G35" s="312">
        <v>0</v>
      </c>
      <c r="H35" s="596">
        <v>561</v>
      </c>
      <c r="I35" s="596">
        <v>963</v>
      </c>
      <c r="J35" s="596">
        <v>963</v>
      </c>
      <c r="K35" s="596">
        <v>963</v>
      </c>
      <c r="L35" s="596">
        <v>963</v>
      </c>
      <c r="M35" s="312">
        <v>994</v>
      </c>
      <c r="N35" s="596">
        <v>963</v>
      </c>
      <c r="O35" s="618"/>
      <c r="P35" s="576"/>
      <c r="Q35" s="576"/>
    </row>
    <row r="36" spans="1:17">
      <c r="A36" s="204">
        <f t="shared" si="0"/>
        <v>28</v>
      </c>
      <c r="B36" s="204" t="s">
        <v>609</v>
      </c>
      <c r="C36" s="596">
        <v>951</v>
      </c>
      <c r="D36" s="312">
        <v>160</v>
      </c>
      <c r="E36" s="312">
        <v>389</v>
      </c>
      <c r="F36" s="312">
        <v>324</v>
      </c>
      <c r="G36" s="312">
        <v>16</v>
      </c>
      <c r="H36" s="596">
        <v>62</v>
      </c>
      <c r="I36" s="596">
        <v>951</v>
      </c>
      <c r="J36" s="596">
        <v>951</v>
      </c>
      <c r="K36" s="596">
        <v>951</v>
      </c>
      <c r="L36" s="596">
        <v>951</v>
      </c>
      <c r="M36" s="312">
        <v>197</v>
      </c>
      <c r="N36" s="596">
        <v>951</v>
      </c>
      <c r="O36" s="618"/>
      <c r="P36" s="576"/>
      <c r="Q36" s="576"/>
    </row>
    <row r="37" spans="1:17">
      <c r="A37" s="204">
        <f t="shared" si="0"/>
        <v>29</v>
      </c>
      <c r="B37" s="204" t="s">
        <v>610</v>
      </c>
      <c r="C37" s="596">
        <v>1033</v>
      </c>
      <c r="D37" s="312">
        <v>186</v>
      </c>
      <c r="E37" s="312">
        <v>306</v>
      </c>
      <c r="F37" s="312">
        <v>250</v>
      </c>
      <c r="G37" s="312">
        <v>0</v>
      </c>
      <c r="H37" s="596">
        <v>291</v>
      </c>
      <c r="I37" s="596">
        <v>1033</v>
      </c>
      <c r="J37" s="596">
        <v>1033</v>
      </c>
      <c r="K37" s="596">
        <v>1033</v>
      </c>
      <c r="L37" s="596">
        <v>1033</v>
      </c>
      <c r="M37" s="312">
        <v>568.70000000000005</v>
      </c>
      <c r="N37" s="596">
        <v>1033</v>
      </c>
      <c r="O37" s="618"/>
      <c r="P37" s="576"/>
      <c r="Q37" s="576"/>
    </row>
    <row r="38" spans="1:17">
      <c r="A38" s="204">
        <f t="shared" si="0"/>
        <v>30</v>
      </c>
      <c r="B38" s="502" t="s">
        <v>611</v>
      </c>
      <c r="C38" s="596">
        <v>509</v>
      </c>
      <c r="D38" s="312">
        <v>0</v>
      </c>
      <c r="E38" s="312">
        <v>354</v>
      </c>
      <c r="F38" s="312">
        <v>155</v>
      </c>
      <c r="G38" s="312">
        <v>0</v>
      </c>
      <c r="H38" s="596">
        <v>0</v>
      </c>
      <c r="I38" s="596">
        <v>509</v>
      </c>
      <c r="J38" s="596">
        <v>509</v>
      </c>
      <c r="K38" s="596">
        <v>509</v>
      </c>
      <c r="L38" s="596">
        <v>509</v>
      </c>
      <c r="M38" s="312">
        <v>105</v>
      </c>
      <c r="N38" s="596">
        <v>509</v>
      </c>
      <c r="O38" s="618"/>
      <c r="P38" s="576"/>
      <c r="Q38" s="576"/>
    </row>
    <row r="39" spans="1:17">
      <c r="A39" s="204">
        <f t="shared" si="0"/>
        <v>31</v>
      </c>
      <c r="B39" s="502" t="s">
        <v>612</v>
      </c>
      <c r="C39" s="596">
        <v>607</v>
      </c>
      <c r="D39" s="312">
        <v>215</v>
      </c>
      <c r="E39" s="312">
        <v>197</v>
      </c>
      <c r="F39" s="312">
        <v>189</v>
      </c>
      <c r="G39" s="312">
        <v>6</v>
      </c>
      <c r="H39" s="596">
        <v>0</v>
      </c>
      <c r="I39" s="596">
        <v>607</v>
      </c>
      <c r="J39" s="596">
        <v>607</v>
      </c>
      <c r="K39" s="596">
        <v>607</v>
      </c>
      <c r="L39" s="596">
        <v>607</v>
      </c>
      <c r="M39" s="312">
        <v>177</v>
      </c>
      <c r="N39" s="596">
        <v>607</v>
      </c>
      <c r="O39" s="618"/>
      <c r="P39" s="576"/>
      <c r="Q39" s="576"/>
    </row>
    <row r="40" spans="1:17">
      <c r="A40" s="204">
        <f t="shared" si="0"/>
        <v>32</v>
      </c>
      <c r="B40" s="502" t="s">
        <v>613</v>
      </c>
      <c r="C40" s="596">
        <v>524</v>
      </c>
      <c r="D40" s="312">
        <v>77</v>
      </c>
      <c r="E40" s="312">
        <v>186</v>
      </c>
      <c r="F40" s="312">
        <v>87</v>
      </c>
      <c r="G40" s="312">
        <v>25</v>
      </c>
      <c r="H40" s="596">
        <v>149</v>
      </c>
      <c r="I40" s="596">
        <v>524</v>
      </c>
      <c r="J40" s="596">
        <v>524</v>
      </c>
      <c r="K40" s="596">
        <v>524</v>
      </c>
      <c r="L40" s="596">
        <v>524</v>
      </c>
      <c r="M40" s="312">
        <v>524</v>
      </c>
      <c r="N40" s="596">
        <v>524</v>
      </c>
      <c r="O40" s="618"/>
      <c r="P40" s="576"/>
      <c r="Q40" s="576"/>
    </row>
    <row r="41" spans="1:17">
      <c r="A41" s="204">
        <f t="shared" si="0"/>
        <v>33</v>
      </c>
      <c r="B41" s="502" t="s">
        <v>614</v>
      </c>
      <c r="C41" s="596">
        <v>672</v>
      </c>
      <c r="D41" s="312">
        <v>0</v>
      </c>
      <c r="E41" s="312">
        <v>451</v>
      </c>
      <c r="F41" s="312">
        <v>221</v>
      </c>
      <c r="G41" s="312">
        <v>0</v>
      </c>
      <c r="H41" s="596">
        <v>0</v>
      </c>
      <c r="I41" s="596">
        <v>672</v>
      </c>
      <c r="J41" s="596">
        <v>672</v>
      </c>
      <c r="K41" s="596">
        <v>672</v>
      </c>
      <c r="L41" s="596">
        <v>672</v>
      </c>
      <c r="M41" s="312">
        <v>35</v>
      </c>
      <c r="N41" s="596">
        <v>672</v>
      </c>
      <c r="O41" s="618"/>
      <c r="P41" s="576"/>
      <c r="Q41" s="576"/>
    </row>
    <row r="42" spans="1:17" s="5" customFormat="1">
      <c r="A42" s="384"/>
      <c r="B42" s="384" t="s">
        <v>615</v>
      </c>
      <c r="C42" s="313">
        <f>SUM(C9:C41)</f>
        <v>27329</v>
      </c>
      <c r="D42" s="313">
        <f t="shared" ref="D42:N42" si="1">SUM(D9:D41)</f>
        <v>2939.88</v>
      </c>
      <c r="E42" s="313">
        <f t="shared" si="1"/>
        <v>12052.3</v>
      </c>
      <c r="F42" s="313">
        <f t="shared" si="1"/>
        <v>6258.78</v>
      </c>
      <c r="G42" s="313">
        <f t="shared" si="1"/>
        <v>778.9</v>
      </c>
      <c r="H42" s="313">
        <f t="shared" si="1"/>
        <v>5299.1399999999994</v>
      </c>
      <c r="I42" s="313">
        <f t="shared" si="1"/>
        <v>27329</v>
      </c>
      <c r="J42" s="313">
        <f t="shared" si="1"/>
        <v>27329</v>
      </c>
      <c r="K42" s="313">
        <f t="shared" si="1"/>
        <v>27329</v>
      </c>
      <c r="L42" s="313">
        <f t="shared" si="1"/>
        <v>27329</v>
      </c>
      <c r="M42" s="313">
        <f t="shared" si="1"/>
        <v>12265.560000000001</v>
      </c>
      <c r="N42" s="313">
        <f t="shared" si="1"/>
        <v>27329</v>
      </c>
      <c r="O42" s="619"/>
    </row>
    <row r="46" spans="1:17" ht="15.75">
      <c r="K46" s="761" t="s">
        <v>908</v>
      </c>
      <c r="L46" s="761"/>
      <c r="M46" s="761"/>
      <c r="N46" s="761"/>
      <c r="O46" s="609"/>
    </row>
    <row r="47" spans="1:17" ht="15.75">
      <c r="K47" s="761" t="s">
        <v>646</v>
      </c>
      <c r="L47" s="761"/>
      <c r="M47" s="761"/>
      <c r="N47" s="761"/>
      <c r="O47" s="609"/>
    </row>
  </sheetData>
  <mergeCells count="13">
    <mergeCell ref="K46:N46"/>
    <mergeCell ref="K47:N47"/>
    <mergeCell ref="D6:H6"/>
    <mergeCell ref="C6:C7"/>
    <mergeCell ref="A1:K1"/>
    <mergeCell ref="A6:A7"/>
    <mergeCell ref="B6:B7"/>
    <mergeCell ref="K6:N6"/>
    <mergeCell ref="I6:I7"/>
    <mergeCell ref="J6:J7"/>
    <mergeCell ref="L5:N5"/>
    <mergeCell ref="A2:N2"/>
    <mergeCell ref="A4:N4"/>
  </mergeCells>
  <printOptions horizontalCentered="1"/>
  <pageMargins left="0.47" right="0.44" top="0.48" bottom="0" header="0.31496062992125984" footer="0.31496062992125984"/>
  <pageSetup paperSize="9" scale="83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20" zoomScaleNormal="70" zoomScaleSheetLayoutView="120" workbookViewId="0">
      <selection sqref="A1:G1"/>
    </sheetView>
  </sheetViews>
  <sheetFormatPr defaultRowHeight="12.75"/>
  <cols>
    <col min="1" max="1" width="8.28515625" style="173" customWidth="1"/>
    <col min="2" max="2" width="23.5703125" style="173" customWidth="1"/>
    <col min="3" max="3" width="16.7109375" style="173" customWidth="1"/>
    <col min="4" max="4" width="12.5703125" style="173" customWidth="1"/>
    <col min="5" max="5" width="13" style="173" customWidth="1"/>
    <col min="6" max="6" width="14.7109375" style="173" customWidth="1"/>
    <col min="7" max="7" width="13.5703125" style="173" customWidth="1"/>
    <col min="8" max="8" width="15.5703125" style="173" customWidth="1"/>
    <col min="9" max="16384" width="9.140625" style="173"/>
  </cols>
  <sheetData>
    <row r="1" spans="1:8" ht="15.75">
      <c r="A1" s="702" t="s">
        <v>0</v>
      </c>
      <c r="B1" s="702"/>
      <c r="C1" s="702"/>
      <c r="D1" s="702"/>
      <c r="E1" s="702"/>
      <c r="F1" s="702"/>
      <c r="G1" s="702"/>
      <c r="H1" s="212" t="s">
        <v>513</v>
      </c>
    </row>
    <row r="2" spans="1:8" ht="20.25">
      <c r="A2" s="703" t="s">
        <v>737</v>
      </c>
      <c r="B2" s="703"/>
      <c r="C2" s="703"/>
      <c r="D2" s="703"/>
      <c r="E2" s="703"/>
      <c r="F2" s="703"/>
      <c r="G2" s="703"/>
      <c r="H2" s="703"/>
    </row>
    <row r="4" spans="1:8" ht="15.75">
      <c r="A4" s="702" t="s">
        <v>512</v>
      </c>
      <c r="B4" s="702"/>
      <c r="C4" s="702"/>
      <c r="D4" s="702"/>
      <c r="E4" s="702"/>
      <c r="F4" s="702"/>
      <c r="G4" s="702"/>
      <c r="H4" s="702"/>
    </row>
    <row r="5" spans="1:8">
      <c r="A5" s="76" t="s">
        <v>658</v>
      </c>
      <c r="B5" s="76"/>
      <c r="C5" s="76"/>
      <c r="D5" s="76"/>
      <c r="E5" s="76"/>
      <c r="F5" s="76"/>
      <c r="G5" s="924" t="s">
        <v>774</v>
      </c>
      <c r="H5" s="924"/>
    </row>
    <row r="6" spans="1:8" ht="21.75" customHeight="1">
      <c r="A6" s="795" t="s">
        <v>2</v>
      </c>
      <c r="B6" s="795" t="s">
        <v>492</v>
      </c>
      <c r="C6" s="668" t="s">
        <v>33</v>
      </c>
      <c r="D6" s="668" t="s">
        <v>497</v>
      </c>
      <c r="E6" s="668"/>
      <c r="F6" s="678" t="s">
        <v>498</v>
      </c>
      <c r="G6" s="678"/>
      <c r="H6" s="795" t="s">
        <v>223</v>
      </c>
    </row>
    <row r="7" spans="1:8" ht="25.5" customHeight="1">
      <c r="A7" s="796"/>
      <c r="B7" s="796"/>
      <c r="C7" s="668"/>
      <c r="D7" s="150" t="s">
        <v>493</v>
      </c>
      <c r="E7" s="150" t="s">
        <v>494</v>
      </c>
      <c r="F7" s="160" t="s">
        <v>495</v>
      </c>
      <c r="G7" s="150" t="s">
        <v>496</v>
      </c>
      <c r="H7" s="796"/>
    </row>
    <row r="8" spans="1:8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264</v>
      </c>
      <c r="H8" s="149">
        <v>8</v>
      </c>
    </row>
    <row r="9" spans="1:8">
      <c r="A9" s="204">
        <v>1</v>
      </c>
      <c r="B9" s="279" t="s">
        <v>645</v>
      </c>
      <c r="C9" s="279" t="s">
        <v>625</v>
      </c>
      <c r="D9" s="75">
        <f>7+5+2</f>
        <v>14</v>
      </c>
      <c r="E9" s="75">
        <f>7+5+2</f>
        <v>14</v>
      </c>
      <c r="F9" s="75">
        <f>7+5+2</f>
        <v>14</v>
      </c>
      <c r="G9" s="75">
        <v>0</v>
      </c>
      <c r="H9" s="8">
        <v>0</v>
      </c>
    </row>
    <row r="10" spans="1:8" ht="38.25">
      <c r="A10" s="204">
        <v>2</v>
      </c>
      <c r="B10" s="500" t="s">
        <v>732</v>
      </c>
      <c r="C10" s="48" t="s">
        <v>607</v>
      </c>
      <c r="D10" s="75">
        <v>9</v>
      </c>
      <c r="E10" s="75">
        <v>9</v>
      </c>
      <c r="F10" s="75">
        <v>9</v>
      </c>
      <c r="G10" s="75">
        <v>0</v>
      </c>
      <c r="H10" s="8">
        <v>0</v>
      </c>
    </row>
    <row r="11" spans="1:8" s="5" customFormat="1">
      <c r="A11" s="274"/>
      <c r="B11" s="274" t="s">
        <v>615</v>
      </c>
      <c r="C11" s="17"/>
      <c r="D11" s="274">
        <f>SUM(D9:D10)</f>
        <v>23</v>
      </c>
      <c r="E11" s="274">
        <f>SUM(E9:E10)</f>
        <v>23</v>
      </c>
      <c r="F11" s="274">
        <f>SUM(F9:F10)</f>
        <v>23</v>
      </c>
      <c r="G11" s="274">
        <f>SUM(G9:G10)</f>
        <v>0</v>
      </c>
      <c r="H11" s="17"/>
    </row>
    <row r="13" spans="1:8" s="656" customFormat="1"/>
    <row r="14" spans="1:8" s="656" customFormat="1"/>
    <row r="15" spans="1:8" s="656" customFormat="1"/>
    <row r="18" spans="5:8" ht="15.75">
      <c r="E18" s="761" t="s">
        <v>908</v>
      </c>
      <c r="F18" s="761"/>
      <c r="G18" s="761"/>
      <c r="H18" s="761"/>
    </row>
    <row r="19" spans="5:8" ht="15.75">
      <c r="E19" s="761" t="s">
        <v>646</v>
      </c>
      <c r="F19" s="761"/>
      <c r="G19" s="761"/>
      <c r="H19" s="761"/>
    </row>
  </sheetData>
  <mergeCells count="12">
    <mergeCell ref="E18:H18"/>
    <mergeCell ref="E19:H19"/>
    <mergeCell ref="A1:G1"/>
    <mergeCell ref="A6:A7"/>
    <mergeCell ref="B6:B7"/>
    <mergeCell ref="C6:C7"/>
    <mergeCell ref="F6:G6"/>
    <mergeCell ref="D6:E6"/>
    <mergeCell ref="H6:H7"/>
    <mergeCell ref="G5:H5"/>
    <mergeCell ref="A4:H4"/>
    <mergeCell ref="A2:H2"/>
  </mergeCells>
  <printOptions horizontalCentered="1"/>
  <pageMargins left="0.70866141732283472" right="0.70866141732283472" top="0.65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4" zoomScaleNormal="70" zoomScaleSheetLayoutView="84" workbookViewId="0">
      <selection sqref="A1:K1"/>
    </sheetView>
  </sheetViews>
  <sheetFormatPr defaultRowHeight="12.75"/>
  <cols>
    <col min="1" max="1" width="6.42578125" style="173" customWidth="1"/>
    <col min="2" max="2" width="21.42578125" style="173" customWidth="1"/>
    <col min="3" max="3" width="15.28515625" style="173" customWidth="1"/>
    <col min="4" max="5" width="15.42578125" style="173" customWidth="1"/>
    <col min="6" max="9" width="15.7109375" style="173" customWidth="1"/>
    <col min="10" max="10" width="15.42578125" style="173" customWidth="1"/>
    <col min="11" max="11" width="20" style="173" customWidth="1"/>
    <col min="12" max="12" width="14.28515625" style="173" customWidth="1"/>
    <col min="13" max="16384" width="9.140625" style="173"/>
  </cols>
  <sheetData>
    <row r="1" spans="1:12" ht="15.75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212" t="s">
        <v>515</v>
      </c>
    </row>
    <row r="2" spans="1:12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</row>
    <row r="4" spans="1:12" ht="15.75">
      <c r="A4" s="702" t="s">
        <v>514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</row>
    <row r="5" spans="1:12">
      <c r="A5" s="76" t="s">
        <v>658</v>
      </c>
      <c r="B5" s="76"/>
      <c r="C5" s="76"/>
      <c r="D5" s="76"/>
      <c r="E5" s="76"/>
      <c r="F5" s="76"/>
      <c r="G5" s="76"/>
      <c r="H5" s="76"/>
      <c r="I5" s="76"/>
      <c r="J5" s="76"/>
      <c r="K5" s="924" t="s">
        <v>774</v>
      </c>
      <c r="L5" s="924"/>
    </row>
    <row r="6" spans="1:12" ht="21.75" customHeight="1">
      <c r="A6" s="795" t="s">
        <v>2</v>
      </c>
      <c r="B6" s="795" t="s">
        <v>33</v>
      </c>
      <c r="C6" s="677" t="s">
        <v>458</v>
      </c>
      <c r="D6" s="678"/>
      <c r="E6" s="679"/>
      <c r="F6" s="677" t="s">
        <v>464</v>
      </c>
      <c r="G6" s="678"/>
      <c r="H6" s="678"/>
      <c r="I6" s="679"/>
      <c r="J6" s="668" t="s">
        <v>466</v>
      </c>
      <c r="K6" s="668"/>
      <c r="L6" s="668"/>
    </row>
    <row r="7" spans="1:12" ht="29.25" customHeight="1">
      <c r="A7" s="796"/>
      <c r="B7" s="796"/>
      <c r="C7" s="150" t="s">
        <v>213</v>
      </c>
      <c r="D7" s="150" t="s">
        <v>460</v>
      </c>
      <c r="E7" s="150" t="s">
        <v>465</v>
      </c>
      <c r="F7" s="150" t="s">
        <v>213</v>
      </c>
      <c r="G7" s="150" t="s">
        <v>459</v>
      </c>
      <c r="H7" s="150" t="s">
        <v>461</v>
      </c>
      <c r="I7" s="150" t="s">
        <v>465</v>
      </c>
      <c r="J7" s="150" t="s">
        <v>462</v>
      </c>
      <c r="K7" s="150" t="s">
        <v>463</v>
      </c>
      <c r="L7" s="150" t="s">
        <v>465</v>
      </c>
    </row>
    <row r="8" spans="1:12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264</v>
      </c>
      <c r="H8" s="149" t="s">
        <v>265</v>
      </c>
      <c r="I8" s="149" t="s">
        <v>284</v>
      </c>
      <c r="J8" s="149" t="s">
        <v>285</v>
      </c>
      <c r="K8" s="149" t="s">
        <v>286</v>
      </c>
      <c r="L8" s="149" t="s">
        <v>314</v>
      </c>
    </row>
    <row r="9" spans="1:12">
      <c r="A9" s="204">
        <v>1</v>
      </c>
      <c r="B9" s="204" t="s">
        <v>624</v>
      </c>
      <c r="C9" s="810" t="s">
        <v>629</v>
      </c>
      <c r="D9" s="811"/>
      <c r="E9" s="811"/>
      <c r="F9" s="811"/>
      <c r="G9" s="811"/>
      <c r="H9" s="811"/>
      <c r="I9" s="811"/>
      <c r="J9" s="811"/>
      <c r="K9" s="811"/>
      <c r="L9" s="812"/>
    </row>
    <row r="10" spans="1:12">
      <c r="A10" s="204">
        <f>A9+1</f>
        <v>2</v>
      </c>
      <c r="B10" s="204" t="s">
        <v>589</v>
      </c>
      <c r="C10" s="813"/>
      <c r="D10" s="814"/>
      <c r="E10" s="814"/>
      <c r="F10" s="814"/>
      <c r="G10" s="814"/>
      <c r="H10" s="814"/>
      <c r="I10" s="814"/>
      <c r="J10" s="814"/>
      <c r="K10" s="814"/>
      <c r="L10" s="815"/>
    </row>
    <row r="11" spans="1:12">
      <c r="A11" s="204">
        <f t="shared" ref="A11:A41" si="0">A10+1</f>
        <v>3</v>
      </c>
      <c r="B11" s="204" t="s">
        <v>625</v>
      </c>
      <c r="C11" s="813"/>
      <c r="D11" s="814"/>
      <c r="E11" s="814"/>
      <c r="F11" s="814"/>
      <c r="G11" s="814"/>
      <c r="H11" s="814"/>
      <c r="I11" s="814"/>
      <c r="J11" s="814"/>
      <c r="K11" s="814"/>
      <c r="L11" s="815"/>
    </row>
    <row r="12" spans="1:12">
      <c r="A12" s="204">
        <f t="shared" si="0"/>
        <v>4</v>
      </c>
      <c r="B12" s="204" t="s">
        <v>590</v>
      </c>
      <c r="C12" s="813"/>
      <c r="D12" s="814"/>
      <c r="E12" s="814"/>
      <c r="F12" s="814"/>
      <c r="G12" s="814"/>
      <c r="H12" s="814"/>
      <c r="I12" s="814"/>
      <c r="J12" s="814"/>
      <c r="K12" s="814"/>
      <c r="L12" s="815"/>
    </row>
    <row r="13" spans="1:12">
      <c r="A13" s="204">
        <f t="shared" si="0"/>
        <v>5</v>
      </c>
      <c r="B13" s="204" t="s">
        <v>591</v>
      </c>
      <c r="C13" s="813"/>
      <c r="D13" s="814"/>
      <c r="E13" s="814"/>
      <c r="F13" s="814"/>
      <c r="G13" s="814"/>
      <c r="H13" s="814"/>
      <c r="I13" s="814"/>
      <c r="J13" s="814"/>
      <c r="K13" s="814"/>
      <c r="L13" s="815"/>
    </row>
    <row r="14" spans="1:12">
      <c r="A14" s="204">
        <f t="shared" si="0"/>
        <v>6</v>
      </c>
      <c r="B14" s="204" t="s">
        <v>592</v>
      </c>
      <c r="C14" s="813"/>
      <c r="D14" s="814"/>
      <c r="E14" s="814"/>
      <c r="F14" s="814"/>
      <c r="G14" s="814"/>
      <c r="H14" s="814"/>
      <c r="I14" s="814"/>
      <c r="J14" s="814"/>
      <c r="K14" s="814"/>
      <c r="L14" s="815"/>
    </row>
    <row r="15" spans="1:12">
      <c r="A15" s="204">
        <f t="shared" si="0"/>
        <v>7</v>
      </c>
      <c r="B15" s="204" t="s">
        <v>593</v>
      </c>
      <c r="C15" s="813"/>
      <c r="D15" s="814"/>
      <c r="E15" s="814"/>
      <c r="F15" s="814"/>
      <c r="G15" s="814"/>
      <c r="H15" s="814"/>
      <c r="I15" s="814"/>
      <c r="J15" s="814"/>
      <c r="K15" s="814"/>
      <c r="L15" s="815"/>
    </row>
    <row r="16" spans="1:12">
      <c r="A16" s="204">
        <f t="shared" si="0"/>
        <v>8</v>
      </c>
      <c r="B16" s="204" t="s">
        <v>594</v>
      </c>
      <c r="C16" s="813"/>
      <c r="D16" s="814"/>
      <c r="E16" s="814"/>
      <c r="F16" s="814"/>
      <c r="G16" s="814"/>
      <c r="H16" s="814"/>
      <c r="I16" s="814"/>
      <c r="J16" s="814"/>
      <c r="K16" s="814"/>
      <c r="L16" s="815"/>
    </row>
    <row r="17" spans="1:14">
      <c r="A17" s="204">
        <f t="shared" si="0"/>
        <v>9</v>
      </c>
      <c r="B17" s="204" t="s">
        <v>595</v>
      </c>
      <c r="C17" s="813"/>
      <c r="D17" s="814"/>
      <c r="E17" s="814"/>
      <c r="F17" s="814"/>
      <c r="G17" s="814"/>
      <c r="H17" s="814"/>
      <c r="I17" s="814"/>
      <c r="J17" s="814"/>
      <c r="K17" s="814"/>
      <c r="L17" s="815"/>
    </row>
    <row r="18" spans="1:14">
      <c r="A18" s="204">
        <f t="shared" si="0"/>
        <v>10</v>
      </c>
      <c r="B18" s="204" t="s">
        <v>596</v>
      </c>
      <c r="C18" s="813"/>
      <c r="D18" s="814"/>
      <c r="E18" s="814"/>
      <c r="F18" s="814"/>
      <c r="G18" s="814"/>
      <c r="H18" s="814"/>
      <c r="I18" s="814"/>
      <c r="J18" s="814"/>
      <c r="K18" s="814"/>
      <c r="L18" s="815"/>
    </row>
    <row r="19" spans="1:14">
      <c r="A19" s="204">
        <f t="shared" si="0"/>
        <v>11</v>
      </c>
      <c r="B19" s="204" t="s">
        <v>626</v>
      </c>
      <c r="C19" s="813"/>
      <c r="D19" s="814"/>
      <c r="E19" s="814"/>
      <c r="F19" s="814"/>
      <c r="G19" s="814"/>
      <c r="H19" s="814"/>
      <c r="I19" s="814"/>
      <c r="J19" s="814"/>
      <c r="K19" s="814"/>
      <c r="L19" s="815"/>
    </row>
    <row r="20" spans="1:14">
      <c r="A20" s="204">
        <f t="shared" si="0"/>
        <v>12</v>
      </c>
      <c r="B20" s="204" t="s">
        <v>597</v>
      </c>
      <c r="C20" s="813"/>
      <c r="D20" s="814"/>
      <c r="E20" s="814"/>
      <c r="F20" s="814"/>
      <c r="G20" s="814"/>
      <c r="H20" s="814"/>
      <c r="I20" s="814"/>
      <c r="J20" s="814"/>
      <c r="K20" s="814"/>
      <c r="L20" s="815"/>
    </row>
    <row r="21" spans="1:14">
      <c r="A21" s="204">
        <f t="shared" si="0"/>
        <v>13</v>
      </c>
      <c r="B21" s="204" t="s">
        <v>598</v>
      </c>
      <c r="C21" s="813"/>
      <c r="D21" s="814"/>
      <c r="E21" s="814"/>
      <c r="F21" s="814"/>
      <c r="G21" s="814"/>
      <c r="H21" s="814"/>
      <c r="I21" s="814"/>
      <c r="J21" s="814"/>
      <c r="K21" s="814"/>
      <c r="L21" s="815"/>
    </row>
    <row r="22" spans="1:14">
      <c r="A22" s="204">
        <f t="shared" si="0"/>
        <v>14</v>
      </c>
      <c r="B22" s="204" t="s">
        <v>627</v>
      </c>
      <c r="C22" s="813"/>
      <c r="D22" s="814"/>
      <c r="E22" s="814"/>
      <c r="F22" s="814"/>
      <c r="G22" s="814"/>
      <c r="H22" s="814"/>
      <c r="I22" s="814"/>
      <c r="J22" s="814"/>
      <c r="K22" s="814"/>
      <c r="L22" s="815"/>
    </row>
    <row r="23" spans="1:14">
      <c r="A23" s="204">
        <f t="shared" si="0"/>
        <v>15</v>
      </c>
      <c r="B23" s="204" t="s">
        <v>599</v>
      </c>
      <c r="C23" s="813"/>
      <c r="D23" s="814"/>
      <c r="E23" s="814"/>
      <c r="F23" s="814"/>
      <c r="G23" s="814"/>
      <c r="H23" s="814"/>
      <c r="I23" s="814"/>
      <c r="J23" s="814"/>
      <c r="K23" s="814"/>
      <c r="L23" s="815"/>
    </row>
    <row r="24" spans="1:14">
      <c r="A24" s="204">
        <f t="shared" si="0"/>
        <v>16</v>
      </c>
      <c r="B24" s="204" t="s">
        <v>600</v>
      </c>
      <c r="C24" s="813"/>
      <c r="D24" s="814"/>
      <c r="E24" s="814"/>
      <c r="F24" s="814"/>
      <c r="G24" s="814"/>
      <c r="H24" s="814"/>
      <c r="I24" s="814"/>
      <c r="J24" s="814"/>
      <c r="K24" s="814"/>
      <c r="L24" s="815"/>
    </row>
    <row r="25" spans="1:14" s="527" customFormat="1">
      <c r="A25" s="204">
        <f t="shared" si="0"/>
        <v>17</v>
      </c>
      <c r="B25" s="529" t="s">
        <v>684</v>
      </c>
      <c r="C25" s="813"/>
      <c r="D25" s="814"/>
      <c r="E25" s="814"/>
      <c r="F25" s="814"/>
      <c r="G25" s="814"/>
      <c r="H25" s="814"/>
      <c r="I25" s="814"/>
      <c r="J25" s="814"/>
      <c r="K25" s="814"/>
      <c r="L25" s="815"/>
    </row>
    <row r="26" spans="1:14">
      <c r="A26" s="204">
        <f t="shared" si="0"/>
        <v>18</v>
      </c>
      <c r="B26" s="204" t="s">
        <v>601</v>
      </c>
      <c r="C26" s="813"/>
      <c r="D26" s="814"/>
      <c r="E26" s="814"/>
      <c r="F26" s="814"/>
      <c r="G26" s="814"/>
      <c r="H26" s="814"/>
      <c r="I26" s="814"/>
      <c r="J26" s="814"/>
      <c r="K26" s="814"/>
      <c r="L26" s="815"/>
    </row>
    <row r="27" spans="1:14">
      <c r="A27" s="204">
        <f t="shared" si="0"/>
        <v>19</v>
      </c>
      <c r="B27" s="204" t="s">
        <v>602</v>
      </c>
      <c r="C27" s="813"/>
      <c r="D27" s="814"/>
      <c r="E27" s="814"/>
      <c r="F27" s="814"/>
      <c r="G27" s="814"/>
      <c r="H27" s="814"/>
      <c r="I27" s="814"/>
      <c r="J27" s="814"/>
      <c r="K27" s="814"/>
      <c r="L27" s="815"/>
    </row>
    <row r="28" spans="1:14" s="527" customFormat="1">
      <c r="A28" s="204">
        <f t="shared" si="0"/>
        <v>20</v>
      </c>
      <c r="B28" s="529" t="s">
        <v>683</v>
      </c>
      <c r="C28" s="813"/>
      <c r="D28" s="814"/>
      <c r="E28" s="814"/>
      <c r="F28" s="814"/>
      <c r="G28" s="814"/>
      <c r="H28" s="814"/>
      <c r="I28" s="814"/>
      <c r="J28" s="814"/>
      <c r="K28" s="814"/>
      <c r="L28" s="815"/>
    </row>
    <row r="29" spans="1:14">
      <c r="A29" s="204">
        <f t="shared" si="0"/>
        <v>21</v>
      </c>
      <c r="B29" s="529" t="s">
        <v>628</v>
      </c>
      <c r="C29" s="813"/>
      <c r="D29" s="814"/>
      <c r="E29" s="814"/>
      <c r="F29" s="814"/>
      <c r="G29" s="814"/>
      <c r="H29" s="814"/>
      <c r="I29" s="814"/>
      <c r="J29" s="814"/>
      <c r="K29" s="814"/>
      <c r="L29" s="815"/>
      <c r="N29" s="173" t="s">
        <v>11</v>
      </c>
    </row>
    <row r="30" spans="1:14">
      <c r="A30" s="204">
        <f t="shared" si="0"/>
        <v>22</v>
      </c>
      <c r="B30" s="204" t="s">
        <v>603</v>
      </c>
      <c r="C30" s="813"/>
      <c r="D30" s="814"/>
      <c r="E30" s="814"/>
      <c r="F30" s="814"/>
      <c r="G30" s="814"/>
      <c r="H30" s="814"/>
      <c r="I30" s="814"/>
      <c r="J30" s="814"/>
      <c r="K30" s="814"/>
      <c r="L30" s="815"/>
    </row>
    <row r="31" spans="1:14">
      <c r="A31" s="204">
        <f t="shared" si="0"/>
        <v>23</v>
      </c>
      <c r="B31" s="204" t="s">
        <v>604</v>
      </c>
      <c r="C31" s="813"/>
      <c r="D31" s="814"/>
      <c r="E31" s="814"/>
      <c r="F31" s="814"/>
      <c r="G31" s="814"/>
      <c r="H31" s="814"/>
      <c r="I31" s="814"/>
      <c r="J31" s="814"/>
      <c r="K31" s="814"/>
      <c r="L31" s="815"/>
    </row>
    <row r="32" spans="1:14">
      <c r="A32" s="204">
        <f t="shared" si="0"/>
        <v>24</v>
      </c>
      <c r="B32" s="204" t="s">
        <v>605</v>
      </c>
      <c r="C32" s="813"/>
      <c r="D32" s="814"/>
      <c r="E32" s="814"/>
      <c r="F32" s="814"/>
      <c r="G32" s="814"/>
      <c r="H32" s="814"/>
      <c r="I32" s="814"/>
      <c r="J32" s="814"/>
      <c r="K32" s="814"/>
      <c r="L32" s="815"/>
    </row>
    <row r="33" spans="1:12">
      <c r="A33" s="204">
        <f t="shared" si="0"/>
        <v>25</v>
      </c>
      <c r="B33" s="204" t="s">
        <v>606</v>
      </c>
      <c r="C33" s="813"/>
      <c r="D33" s="814"/>
      <c r="E33" s="814"/>
      <c r="F33" s="814"/>
      <c r="G33" s="814"/>
      <c r="H33" s="814"/>
      <c r="I33" s="814"/>
      <c r="J33" s="814"/>
      <c r="K33" s="814"/>
      <c r="L33" s="815"/>
    </row>
    <row r="34" spans="1:12">
      <c r="A34" s="204">
        <f t="shared" si="0"/>
        <v>26</v>
      </c>
      <c r="B34" s="204" t="s">
        <v>607</v>
      </c>
      <c r="C34" s="813"/>
      <c r="D34" s="814"/>
      <c r="E34" s="814"/>
      <c r="F34" s="814"/>
      <c r="G34" s="814"/>
      <c r="H34" s="814"/>
      <c r="I34" s="814"/>
      <c r="J34" s="814"/>
      <c r="K34" s="814"/>
      <c r="L34" s="815"/>
    </row>
    <row r="35" spans="1:12">
      <c r="A35" s="204">
        <f t="shared" si="0"/>
        <v>27</v>
      </c>
      <c r="B35" s="204" t="s">
        <v>608</v>
      </c>
      <c r="C35" s="813"/>
      <c r="D35" s="814"/>
      <c r="E35" s="814"/>
      <c r="F35" s="814"/>
      <c r="G35" s="814"/>
      <c r="H35" s="814"/>
      <c r="I35" s="814"/>
      <c r="J35" s="814"/>
      <c r="K35" s="814"/>
      <c r="L35" s="815"/>
    </row>
    <row r="36" spans="1:12">
      <c r="A36" s="204">
        <f t="shared" si="0"/>
        <v>28</v>
      </c>
      <c r="B36" s="204" t="s">
        <v>609</v>
      </c>
      <c r="C36" s="813"/>
      <c r="D36" s="814"/>
      <c r="E36" s="814"/>
      <c r="F36" s="814"/>
      <c r="G36" s="814"/>
      <c r="H36" s="814"/>
      <c r="I36" s="814"/>
      <c r="J36" s="814"/>
      <c r="K36" s="814"/>
      <c r="L36" s="815"/>
    </row>
    <row r="37" spans="1:12">
      <c r="A37" s="204">
        <f t="shared" si="0"/>
        <v>29</v>
      </c>
      <c r="B37" s="204" t="s">
        <v>610</v>
      </c>
      <c r="C37" s="813"/>
      <c r="D37" s="814"/>
      <c r="E37" s="814"/>
      <c r="F37" s="814"/>
      <c r="G37" s="814"/>
      <c r="H37" s="814"/>
      <c r="I37" s="814"/>
      <c r="J37" s="814"/>
      <c r="K37" s="814"/>
      <c r="L37" s="815"/>
    </row>
    <row r="38" spans="1:12">
      <c r="A38" s="204">
        <f t="shared" si="0"/>
        <v>30</v>
      </c>
      <c r="B38" s="502" t="s">
        <v>611</v>
      </c>
      <c r="C38" s="813"/>
      <c r="D38" s="814"/>
      <c r="E38" s="814"/>
      <c r="F38" s="814"/>
      <c r="G38" s="814"/>
      <c r="H38" s="814"/>
      <c r="I38" s="814"/>
      <c r="J38" s="814"/>
      <c r="K38" s="814"/>
      <c r="L38" s="815"/>
    </row>
    <row r="39" spans="1:12">
      <c r="A39" s="204">
        <f t="shared" si="0"/>
        <v>31</v>
      </c>
      <c r="B39" s="502" t="s">
        <v>612</v>
      </c>
      <c r="C39" s="813"/>
      <c r="D39" s="814"/>
      <c r="E39" s="814"/>
      <c r="F39" s="814"/>
      <c r="G39" s="814"/>
      <c r="H39" s="814"/>
      <c r="I39" s="814"/>
      <c r="J39" s="814"/>
      <c r="K39" s="814"/>
      <c r="L39" s="815"/>
    </row>
    <row r="40" spans="1:12" ht="12.75" customHeight="1">
      <c r="A40" s="204">
        <f t="shared" si="0"/>
        <v>32</v>
      </c>
      <c r="B40" s="502" t="s">
        <v>613</v>
      </c>
      <c r="C40" s="813"/>
      <c r="D40" s="814"/>
      <c r="E40" s="814"/>
      <c r="F40" s="814"/>
      <c r="G40" s="814"/>
      <c r="H40" s="814"/>
      <c r="I40" s="814"/>
      <c r="J40" s="814"/>
      <c r="K40" s="814"/>
      <c r="L40" s="815"/>
    </row>
    <row r="41" spans="1:12" ht="12.75" customHeight="1">
      <c r="A41" s="204">
        <f t="shared" si="0"/>
        <v>33</v>
      </c>
      <c r="B41" s="502" t="s">
        <v>614</v>
      </c>
      <c r="C41" s="813"/>
      <c r="D41" s="814"/>
      <c r="E41" s="814"/>
      <c r="F41" s="814"/>
      <c r="G41" s="814"/>
      <c r="H41" s="814"/>
      <c r="I41" s="814"/>
      <c r="J41" s="814"/>
      <c r="K41" s="814"/>
      <c r="L41" s="815"/>
    </row>
    <row r="42" spans="1:12" ht="12.75" customHeight="1">
      <c r="A42" s="151"/>
      <c r="B42" s="151" t="s">
        <v>615</v>
      </c>
      <c r="C42" s="816"/>
      <c r="D42" s="817"/>
      <c r="E42" s="817"/>
      <c r="F42" s="817"/>
      <c r="G42" s="817"/>
      <c r="H42" s="817"/>
      <c r="I42" s="817"/>
      <c r="J42" s="817"/>
      <c r="K42" s="817"/>
      <c r="L42" s="818"/>
    </row>
    <row r="43" spans="1:12">
      <c r="A43" s="106"/>
      <c r="F43" s="106"/>
    </row>
    <row r="45" spans="1:12" s="656" customFormat="1"/>
    <row r="46" spans="1:12" s="656" customFormat="1"/>
    <row r="48" spans="1:12" ht="15.75">
      <c r="I48" s="761" t="s">
        <v>908</v>
      </c>
      <c r="J48" s="761"/>
      <c r="K48" s="761"/>
      <c r="L48" s="761"/>
    </row>
    <row r="49" spans="9:12" ht="15.75">
      <c r="I49" s="761" t="s">
        <v>646</v>
      </c>
      <c r="J49" s="761"/>
      <c r="K49" s="761"/>
      <c r="L49" s="761"/>
    </row>
  </sheetData>
  <mergeCells count="12">
    <mergeCell ref="I48:L48"/>
    <mergeCell ref="I49:L49"/>
    <mergeCell ref="A1:K1"/>
    <mergeCell ref="C6:E6"/>
    <mergeCell ref="F6:I6"/>
    <mergeCell ref="J6:L6"/>
    <mergeCell ref="A6:A7"/>
    <mergeCell ref="B6:B7"/>
    <mergeCell ref="C9:L42"/>
    <mergeCell ref="K5:L5"/>
    <mergeCell ref="A2:L2"/>
    <mergeCell ref="A4:L4"/>
  </mergeCells>
  <printOptions horizontalCentered="1"/>
  <pageMargins left="0.70866141732283472" right="0.70866141732283472" top="0.43" bottom="0" header="0.31496062992125984" footer="0.31496062992125984"/>
  <pageSetup paperSize="9" scale="7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topLeftCell="A24" zoomScale="80" zoomScaleNormal="70" zoomScaleSheetLayoutView="80" workbookViewId="0">
      <selection activeCell="M29" sqref="M29"/>
    </sheetView>
  </sheetViews>
  <sheetFormatPr defaultRowHeight="12.75"/>
  <cols>
    <col min="1" max="1" width="7.7109375" style="173" customWidth="1"/>
    <col min="2" max="2" width="18.5703125" style="173" customWidth="1"/>
    <col min="3" max="4" width="12.7109375" style="173" customWidth="1"/>
    <col min="5" max="5" width="12.85546875" style="173" customWidth="1"/>
    <col min="6" max="6" width="13.28515625" style="173" customWidth="1"/>
    <col min="7" max="7" width="13.7109375" style="173" customWidth="1"/>
    <col min="8" max="8" width="12.42578125" style="173" customWidth="1"/>
    <col min="9" max="9" width="15.5703125" style="173" customWidth="1"/>
    <col min="10" max="10" width="17" style="173" customWidth="1"/>
    <col min="11" max="11" width="14.28515625" style="173" customWidth="1"/>
    <col min="12" max="16384" width="9.140625" style="173"/>
  </cols>
  <sheetData>
    <row r="1" spans="1:11" ht="15.75">
      <c r="A1" s="702" t="s">
        <v>0</v>
      </c>
      <c r="B1" s="702"/>
      <c r="C1" s="702"/>
      <c r="D1" s="702"/>
      <c r="E1" s="702"/>
      <c r="F1" s="702"/>
      <c r="G1" s="702"/>
      <c r="H1" s="702"/>
      <c r="I1" s="156"/>
      <c r="J1" s="156"/>
      <c r="K1" s="212" t="s">
        <v>517</v>
      </c>
    </row>
    <row r="2" spans="1:11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4" spans="1:11" ht="15.75">
      <c r="A4" s="702" t="s">
        <v>516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</row>
    <row r="5" spans="1:11">
      <c r="A5" s="76" t="s">
        <v>658</v>
      </c>
      <c r="B5" s="76"/>
      <c r="C5" s="76"/>
      <c r="D5" s="76"/>
      <c r="E5" s="76"/>
      <c r="F5" s="76"/>
      <c r="H5" s="76"/>
      <c r="I5" s="76"/>
      <c r="J5" s="76" t="s">
        <v>774</v>
      </c>
    </row>
    <row r="6" spans="1:11" ht="21.75" customHeight="1">
      <c r="A6" s="795" t="s">
        <v>2</v>
      </c>
      <c r="B6" s="795" t="s">
        <v>33</v>
      </c>
      <c r="C6" s="677" t="s">
        <v>476</v>
      </c>
      <c r="D6" s="678"/>
      <c r="E6" s="679"/>
      <c r="F6" s="677" t="s">
        <v>479</v>
      </c>
      <c r="G6" s="678"/>
      <c r="H6" s="679"/>
      <c r="I6" s="795" t="s">
        <v>558</v>
      </c>
      <c r="J6" s="795" t="s">
        <v>557</v>
      </c>
      <c r="K6" s="795" t="s">
        <v>74</v>
      </c>
    </row>
    <row r="7" spans="1:11" ht="26.25" customHeight="1">
      <c r="A7" s="796"/>
      <c r="B7" s="796"/>
      <c r="C7" s="150" t="s">
        <v>475</v>
      </c>
      <c r="D7" s="150" t="s">
        <v>477</v>
      </c>
      <c r="E7" s="150" t="s">
        <v>478</v>
      </c>
      <c r="F7" s="150" t="s">
        <v>475</v>
      </c>
      <c r="G7" s="150" t="s">
        <v>477</v>
      </c>
      <c r="H7" s="150" t="s">
        <v>478</v>
      </c>
      <c r="I7" s="796"/>
      <c r="J7" s="796"/>
      <c r="K7" s="796"/>
    </row>
    <row r="8" spans="1:11">
      <c r="A8" s="214">
        <v>1</v>
      </c>
      <c r="B8" s="214">
        <v>2</v>
      </c>
      <c r="C8" s="214">
        <v>3</v>
      </c>
      <c r="D8" s="214">
        <v>4</v>
      </c>
      <c r="E8" s="214">
        <v>5</v>
      </c>
      <c r="F8" s="214">
        <v>6</v>
      </c>
      <c r="G8" s="214">
        <v>7</v>
      </c>
      <c r="H8" s="214">
        <v>8</v>
      </c>
      <c r="I8" s="214">
        <v>9</v>
      </c>
      <c r="J8" s="214">
        <v>10</v>
      </c>
      <c r="K8" s="214">
        <v>11</v>
      </c>
    </row>
    <row r="9" spans="1:11">
      <c r="A9" s="204">
        <v>1</v>
      </c>
      <c r="B9" s="204" t="s">
        <v>624</v>
      </c>
      <c r="C9" s="925" t="s">
        <v>629</v>
      </c>
      <c r="D9" s="926"/>
      <c r="E9" s="926"/>
      <c r="F9" s="926"/>
      <c r="G9" s="926"/>
      <c r="H9" s="926"/>
      <c r="I9" s="926"/>
      <c r="J9" s="926"/>
      <c r="K9" s="927"/>
    </row>
    <row r="10" spans="1:11">
      <c r="A10" s="204">
        <f>A9+1</f>
        <v>2</v>
      </c>
      <c r="B10" s="204" t="s">
        <v>589</v>
      </c>
      <c r="C10" s="928"/>
      <c r="D10" s="929"/>
      <c r="E10" s="929"/>
      <c r="F10" s="929"/>
      <c r="G10" s="929"/>
      <c r="H10" s="929"/>
      <c r="I10" s="929"/>
      <c r="J10" s="929"/>
      <c r="K10" s="930"/>
    </row>
    <row r="11" spans="1:11">
      <c r="A11" s="204">
        <f t="shared" ref="A11:A41" si="0">A10+1</f>
        <v>3</v>
      </c>
      <c r="B11" s="204" t="s">
        <v>625</v>
      </c>
      <c r="C11" s="928"/>
      <c r="D11" s="929"/>
      <c r="E11" s="929"/>
      <c r="F11" s="929"/>
      <c r="G11" s="929"/>
      <c r="H11" s="929"/>
      <c r="I11" s="929"/>
      <c r="J11" s="929"/>
      <c r="K11" s="930"/>
    </row>
    <row r="12" spans="1:11">
      <c r="A12" s="204">
        <f t="shared" si="0"/>
        <v>4</v>
      </c>
      <c r="B12" s="204" t="s">
        <v>590</v>
      </c>
      <c r="C12" s="928"/>
      <c r="D12" s="929"/>
      <c r="E12" s="929"/>
      <c r="F12" s="929"/>
      <c r="G12" s="929"/>
      <c r="H12" s="929"/>
      <c r="I12" s="929"/>
      <c r="J12" s="929"/>
      <c r="K12" s="930"/>
    </row>
    <row r="13" spans="1:11">
      <c r="A13" s="204">
        <f t="shared" si="0"/>
        <v>5</v>
      </c>
      <c r="B13" s="204" t="s">
        <v>591</v>
      </c>
      <c r="C13" s="928"/>
      <c r="D13" s="929"/>
      <c r="E13" s="929"/>
      <c r="F13" s="929"/>
      <c r="G13" s="929"/>
      <c r="H13" s="929"/>
      <c r="I13" s="929"/>
      <c r="J13" s="929"/>
      <c r="K13" s="930"/>
    </row>
    <row r="14" spans="1:11">
      <c r="A14" s="204">
        <f t="shared" si="0"/>
        <v>6</v>
      </c>
      <c r="B14" s="204" t="s">
        <v>592</v>
      </c>
      <c r="C14" s="928"/>
      <c r="D14" s="929"/>
      <c r="E14" s="929"/>
      <c r="F14" s="929"/>
      <c r="G14" s="929"/>
      <c r="H14" s="929"/>
      <c r="I14" s="929"/>
      <c r="J14" s="929"/>
      <c r="K14" s="930"/>
    </row>
    <row r="15" spans="1:11">
      <c r="A15" s="204">
        <f t="shared" si="0"/>
        <v>7</v>
      </c>
      <c r="B15" s="204" t="s">
        <v>593</v>
      </c>
      <c r="C15" s="928"/>
      <c r="D15" s="929"/>
      <c r="E15" s="929"/>
      <c r="F15" s="929"/>
      <c r="G15" s="929"/>
      <c r="H15" s="929"/>
      <c r="I15" s="929"/>
      <c r="J15" s="929"/>
      <c r="K15" s="930"/>
    </row>
    <row r="16" spans="1:11">
      <c r="A16" s="204">
        <f t="shared" si="0"/>
        <v>8</v>
      </c>
      <c r="B16" s="204" t="s">
        <v>594</v>
      </c>
      <c r="C16" s="928"/>
      <c r="D16" s="929"/>
      <c r="E16" s="929"/>
      <c r="F16" s="929"/>
      <c r="G16" s="929"/>
      <c r="H16" s="929"/>
      <c r="I16" s="929"/>
      <c r="J16" s="929"/>
      <c r="K16" s="930"/>
    </row>
    <row r="17" spans="1:11">
      <c r="A17" s="204">
        <f t="shared" si="0"/>
        <v>9</v>
      </c>
      <c r="B17" s="204" t="s">
        <v>595</v>
      </c>
      <c r="C17" s="928"/>
      <c r="D17" s="929"/>
      <c r="E17" s="929"/>
      <c r="F17" s="929"/>
      <c r="G17" s="929"/>
      <c r="H17" s="929"/>
      <c r="I17" s="929"/>
      <c r="J17" s="929"/>
      <c r="K17" s="930"/>
    </row>
    <row r="18" spans="1:11">
      <c r="A18" s="204">
        <f t="shared" si="0"/>
        <v>10</v>
      </c>
      <c r="B18" s="204" t="s">
        <v>596</v>
      </c>
      <c r="C18" s="928"/>
      <c r="D18" s="929"/>
      <c r="E18" s="929"/>
      <c r="F18" s="929"/>
      <c r="G18" s="929"/>
      <c r="H18" s="929"/>
      <c r="I18" s="929"/>
      <c r="J18" s="929"/>
      <c r="K18" s="930"/>
    </row>
    <row r="19" spans="1:11">
      <c r="A19" s="204">
        <f t="shared" si="0"/>
        <v>11</v>
      </c>
      <c r="B19" s="204" t="s">
        <v>626</v>
      </c>
      <c r="C19" s="928"/>
      <c r="D19" s="929"/>
      <c r="E19" s="929"/>
      <c r="F19" s="929"/>
      <c r="G19" s="929"/>
      <c r="H19" s="929"/>
      <c r="I19" s="929"/>
      <c r="J19" s="929"/>
      <c r="K19" s="930"/>
    </row>
    <row r="20" spans="1:11">
      <c r="A20" s="204">
        <f t="shared" si="0"/>
        <v>12</v>
      </c>
      <c r="B20" s="204" t="s">
        <v>597</v>
      </c>
      <c r="C20" s="928"/>
      <c r="D20" s="929"/>
      <c r="E20" s="929"/>
      <c r="F20" s="929"/>
      <c r="G20" s="929"/>
      <c r="H20" s="929"/>
      <c r="I20" s="929"/>
      <c r="J20" s="929"/>
      <c r="K20" s="930"/>
    </row>
    <row r="21" spans="1:11">
      <c r="A21" s="204">
        <f t="shared" si="0"/>
        <v>13</v>
      </c>
      <c r="B21" s="204" t="s">
        <v>598</v>
      </c>
      <c r="C21" s="928"/>
      <c r="D21" s="929"/>
      <c r="E21" s="929"/>
      <c r="F21" s="929"/>
      <c r="G21" s="929"/>
      <c r="H21" s="929"/>
      <c r="I21" s="929"/>
      <c r="J21" s="929"/>
      <c r="K21" s="930"/>
    </row>
    <row r="22" spans="1:11">
      <c r="A22" s="204">
        <f t="shared" si="0"/>
        <v>14</v>
      </c>
      <c r="B22" s="204" t="s">
        <v>627</v>
      </c>
      <c r="C22" s="928"/>
      <c r="D22" s="929"/>
      <c r="E22" s="929"/>
      <c r="F22" s="929"/>
      <c r="G22" s="929"/>
      <c r="H22" s="929"/>
      <c r="I22" s="929"/>
      <c r="J22" s="929"/>
      <c r="K22" s="930"/>
    </row>
    <row r="23" spans="1:11">
      <c r="A23" s="204">
        <f t="shared" si="0"/>
        <v>15</v>
      </c>
      <c r="B23" s="204" t="s">
        <v>599</v>
      </c>
      <c r="C23" s="928"/>
      <c r="D23" s="929"/>
      <c r="E23" s="929"/>
      <c r="F23" s="929"/>
      <c r="G23" s="929"/>
      <c r="H23" s="929"/>
      <c r="I23" s="929"/>
      <c r="J23" s="929"/>
      <c r="K23" s="930"/>
    </row>
    <row r="24" spans="1:11">
      <c r="A24" s="204">
        <f t="shared" si="0"/>
        <v>16</v>
      </c>
      <c r="B24" s="204" t="s">
        <v>600</v>
      </c>
      <c r="C24" s="928"/>
      <c r="D24" s="929"/>
      <c r="E24" s="929"/>
      <c r="F24" s="929"/>
      <c r="G24" s="929"/>
      <c r="H24" s="929"/>
      <c r="I24" s="929"/>
      <c r="J24" s="929"/>
      <c r="K24" s="930"/>
    </row>
    <row r="25" spans="1:11" s="527" customFormat="1">
      <c r="A25" s="204">
        <f t="shared" si="0"/>
        <v>17</v>
      </c>
      <c r="B25" s="529" t="s">
        <v>684</v>
      </c>
      <c r="C25" s="928"/>
      <c r="D25" s="929"/>
      <c r="E25" s="929"/>
      <c r="F25" s="929"/>
      <c r="G25" s="929"/>
      <c r="H25" s="929"/>
      <c r="I25" s="929"/>
      <c r="J25" s="929"/>
      <c r="K25" s="930"/>
    </row>
    <row r="26" spans="1:11">
      <c r="A26" s="204">
        <f t="shared" si="0"/>
        <v>18</v>
      </c>
      <c r="B26" s="204" t="s">
        <v>601</v>
      </c>
      <c r="C26" s="928"/>
      <c r="D26" s="929"/>
      <c r="E26" s="929"/>
      <c r="F26" s="929"/>
      <c r="G26" s="929"/>
      <c r="H26" s="929"/>
      <c r="I26" s="929"/>
      <c r="J26" s="929"/>
      <c r="K26" s="930"/>
    </row>
    <row r="27" spans="1:11">
      <c r="A27" s="204">
        <f t="shared" si="0"/>
        <v>19</v>
      </c>
      <c r="B27" s="204" t="s">
        <v>602</v>
      </c>
      <c r="C27" s="928"/>
      <c r="D27" s="929"/>
      <c r="E27" s="929"/>
      <c r="F27" s="929"/>
      <c r="G27" s="929"/>
      <c r="H27" s="929"/>
      <c r="I27" s="929"/>
      <c r="J27" s="929"/>
      <c r="K27" s="930"/>
    </row>
    <row r="28" spans="1:11" s="527" customFormat="1">
      <c r="A28" s="204">
        <f t="shared" si="0"/>
        <v>20</v>
      </c>
      <c r="B28" s="529" t="s">
        <v>683</v>
      </c>
      <c r="C28" s="928"/>
      <c r="D28" s="929"/>
      <c r="E28" s="929"/>
      <c r="F28" s="929"/>
      <c r="G28" s="929"/>
      <c r="H28" s="929"/>
      <c r="I28" s="929"/>
      <c r="J28" s="929"/>
      <c r="K28" s="930"/>
    </row>
    <row r="29" spans="1:11">
      <c r="A29" s="204">
        <f t="shared" si="0"/>
        <v>21</v>
      </c>
      <c r="B29" s="529" t="s">
        <v>628</v>
      </c>
      <c r="C29" s="928"/>
      <c r="D29" s="929"/>
      <c r="E29" s="929"/>
      <c r="F29" s="929"/>
      <c r="G29" s="929"/>
      <c r="H29" s="929"/>
      <c r="I29" s="929"/>
      <c r="J29" s="929"/>
      <c r="K29" s="930"/>
    </row>
    <row r="30" spans="1:11">
      <c r="A30" s="204">
        <f t="shared" si="0"/>
        <v>22</v>
      </c>
      <c r="B30" s="204" t="s">
        <v>603</v>
      </c>
      <c r="C30" s="928"/>
      <c r="D30" s="929"/>
      <c r="E30" s="929"/>
      <c r="F30" s="929"/>
      <c r="G30" s="929"/>
      <c r="H30" s="929"/>
      <c r="I30" s="929"/>
      <c r="J30" s="929"/>
      <c r="K30" s="930"/>
    </row>
    <row r="31" spans="1:11">
      <c r="A31" s="204">
        <f t="shared" si="0"/>
        <v>23</v>
      </c>
      <c r="B31" s="204" t="s">
        <v>604</v>
      </c>
      <c r="C31" s="928"/>
      <c r="D31" s="929"/>
      <c r="E31" s="929"/>
      <c r="F31" s="929"/>
      <c r="G31" s="929"/>
      <c r="H31" s="929"/>
      <c r="I31" s="929"/>
      <c r="J31" s="929"/>
      <c r="K31" s="930"/>
    </row>
    <row r="32" spans="1:11">
      <c r="A32" s="204">
        <f t="shared" si="0"/>
        <v>24</v>
      </c>
      <c r="B32" s="204" t="s">
        <v>605</v>
      </c>
      <c r="C32" s="928"/>
      <c r="D32" s="929"/>
      <c r="E32" s="929"/>
      <c r="F32" s="929"/>
      <c r="G32" s="929"/>
      <c r="H32" s="929"/>
      <c r="I32" s="929"/>
      <c r="J32" s="929"/>
      <c r="K32" s="930"/>
    </row>
    <row r="33" spans="1:13">
      <c r="A33" s="204">
        <f t="shared" si="0"/>
        <v>25</v>
      </c>
      <c r="B33" s="204" t="s">
        <v>606</v>
      </c>
      <c r="C33" s="928"/>
      <c r="D33" s="929"/>
      <c r="E33" s="929"/>
      <c r="F33" s="929"/>
      <c r="G33" s="929"/>
      <c r="H33" s="929"/>
      <c r="I33" s="929"/>
      <c r="J33" s="929"/>
      <c r="K33" s="930"/>
    </row>
    <row r="34" spans="1:13">
      <c r="A34" s="204">
        <f t="shared" si="0"/>
        <v>26</v>
      </c>
      <c r="B34" s="204" t="s">
        <v>607</v>
      </c>
      <c r="C34" s="928"/>
      <c r="D34" s="929"/>
      <c r="E34" s="929"/>
      <c r="F34" s="929"/>
      <c r="G34" s="929"/>
      <c r="H34" s="929"/>
      <c r="I34" s="929"/>
      <c r="J34" s="929"/>
      <c r="K34" s="930"/>
    </row>
    <row r="35" spans="1:13">
      <c r="A35" s="204">
        <f t="shared" si="0"/>
        <v>27</v>
      </c>
      <c r="B35" s="204" t="s">
        <v>608</v>
      </c>
      <c r="C35" s="928"/>
      <c r="D35" s="929"/>
      <c r="E35" s="929"/>
      <c r="F35" s="929"/>
      <c r="G35" s="929"/>
      <c r="H35" s="929"/>
      <c r="I35" s="929"/>
      <c r="J35" s="929"/>
      <c r="K35" s="930"/>
      <c r="M35" s="173" t="s">
        <v>11</v>
      </c>
    </row>
    <row r="36" spans="1:13">
      <c r="A36" s="204">
        <f t="shared" si="0"/>
        <v>28</v>
      </c>
      <c r="B36" s="204" t="s">
        <v>609</v>
      </c>
      <c r="C36" s="928"/>
      <c r="D36" s="929"/>
      <c r="E36" s="929"/>
      <c r="F36" s="929"/>
      <c r="G36" s="929"/>
      <c r="H36" s="929"/>
      <c r="I36" s="929"/>
      <c r="J36" s="929"/>
      <c r="K36" s="930"/>
    </row>
    <row r="37" spans="1:13">
      <c r="A37" s="204">
        <f t="shared" si="0"/>
        <v>29</v>
      </c>
      <c r="B37" s="204" t="s">
        <v>610</v>
      </c>
      <c r="C37" s="928"/>
      <c r="D37" s="929"/>
      <c r="E37" s="929"/>
      <c r="F37" s="929"/>
      <c r="G37" s="929"/>
      <c r="H37" s="929"/>
      <c r="I37" s="929"/>
      <c r="J37" s="929"/>
      <c r="K37" s="930"/>
    </row>
    <row r="38" spans="1:13">
      <c r="A38" s="204">
        <f t="shared" si="0"/>
        <v>30</v>
      </c>
      <c r="B38" s="502" t="s">
        <v>611</v>
      </c>
      <c r="C38" s="928"/>
      <c r="D38" s="929"/>
      <c r="E38" s="929"/>
      <c r="F38" s="929"/>
      <c r="G38" s="929"/>
      <c r="H38" s="929"/>
      <c r="I38" s="929"/>
      <c r="J38" s="929"/>
      <c r="K38" s="930"/>
    </row>
    <row r="39" spans="1:13">
      <c r="A39" s="204">
        <f t="shared" si="0"/>
        <v>31</v>
      </c>
      <c r="B39" s="502" t="s">
        <v>612</v>
      </c>
      <c r="C39" s="928"/>
      <c r="D39" s="929"/>
      <c r="E39" s="929"/>
      <c r="F39" s="929"/>
      <c r="G39" s="929"/>
      <c r="H39" s="929"/>
      <c r="I39" s="929"/>
      <c r="J39" s="929"/>
      <c r="K39" s="930"/>
    </row>
    <row r="40" spans="1:13">
      <c r="A40" s="204">
        <f t="shared" si="0"/>
        <v>32</v>
      </c>
      <c r="B40" s="502" t="s">
        <v>613</v>
      </c>
      <c r="C40" s="928"/>
      <c r="D40" s="929"/>
      <c r="E40" s="929"/>
      <c r="F40" s="929"/>
      <c r="G40" s="929"/>
      <c r="H40" s="929"/>
      <c r="I40" s="929"/>
      <c r="J40" s="929"/>
      <c r="K40" s="930"/>
    </row>
    <row r="41" spans="1:13">
      <c r="A41" s="204">
        <f t="shared" si="0"/>
        <v>33</v>
      </c>
      <c r="B41" s="502" t="s">
        <v>614</v>
      </c>
      <c r="C41" s="928"/>
      <c r="D41" s="929"/>
      <c r="E41" s="929"/>
      <c r="F41" s="929"/>
      <c r="G41" s="929"/>
      <c r="H41" s="929"/>
      <c r="I41" s="929"/>
      <c r="J41" s="929"/>
      <c r="K41" s="930"/>
    </row>
    <row r="42" spans="1:13">
      <c r="A42" s="151"/>
      <c r="B42" s="151" t="s">
        <v>615</v>
      </c>
      <c r="C42" s="931"/>
      <c r="D42" s="932"/>
      <c r="E42" s="932"/>
      <c r="F42" s="932"/>
      <c r="G42" s="932"/>
      <c r="H42" s="932"/>
      <c r="I42" s="932"/>
      <c r="J42" s="932"/>
      <c r="K42" s="933"/>
    </row>
    <row r="46" spans="1:13" ht="15.75">
      <c r="H46" s="761" t="s">
        <v>908</v>
      </c>
      <c r="I46" s="761"/>
      <c r="J46" s="761"/>
      <c r="K46" s="761"/>
    </row>
    <row r="47" spans="1:13" ht="15.75">
      <c r="H47" s="761" t="s">
        <v>646</v>
      </c>
      <c r="I47" s="761"/>
      <c r="J47" s="761"/>
      <c r="K47" s="761"/>
    </row>
  </sheetData>
  <mergeCells count="13">
    <mergeCell ref="H46:K46"/>
    <mergeCell ref="H47:K47"/>
    <mergeCell ref="A1:H1"/>
    <mergeCell ref="K6:K7"/>
    <mergeCell ref="I6:I7"/>
    <mergeCell ref="J6:J7"/>
    <mergeCell ref="C9:K42"/>
    <mergeCell ref="A6:A7"/>
    <mergeCell ref="B6:B7"/>
    <mergeCell ref="C6:E6"/>
    <mergeCell ref="F6:H6"/>
    <mergeCell ref="A4:K4"/>
    <mergeCell ref="A2:K2"/>
  </mergeCells>
  <printOptions horizontalCentered="1"/>
  <pageMargins left="0.46" right="0.44" top="0.47" bottom="0" header="0.31496062992125984" footer="0.31496062992125984"/>
  <pageSetup paperSize="9" scale="8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topLeftCell="A26" zoomScale="73" zoomScaleNormal="70" zoomScaleSheetLayoutView="73" workbookViewId="0">
      <selection activeCell="M29" sqref="M29"/>
    </sheetView>
  </sheetViews>
  <sheetFormatPr defaultRowHeight="12.75"/>
  <cols>
    <col min="1" max="1" width="7.42578125" style="173" customWidth="1"/>
    <col min="2" max="2" width="18.140625" style="173" customWidth="1"/>
    <col min="3" max="4" width="12.7109375" style="173" customWidth="1"/>
    <col min="5" max="5" width="14.42578125" style="173" customWidth="1"/>
    <col min="6" max="6" width="17" style="173" customWidth="1"/>
    <col min="7" max="7" width="14.140625" style="173" customWidth="1"/>
    <col min="8" max="8" width="17" style="173" customWidth="1"/>
    <col min="9" max="9" width="13" style="173" customWidth="1"/>
    <col min="10" max="10" width="17" style="173" customWidth="1"/>
    <col min="11" max="11" width="11.28515625" style="173" customWidth="1"/>
    <col min="12" max="12" width="19.28515625" style="173" customWidth="1"/>
    <col min="13" max="16384" width="9.140625" style="173"/>
  </cols>
  <sheetData>
    <row r="1" spans="1:12" ht="15">
      <c r="A1" s="198"/>
      <c r="B1" s="198"/>
      <c r="C1" s="198"/>
      <c r="D1" s="198"/>
      <c r="E1" s="198"/>
      <c r="F1" s="198"/>
      <c r="G1" s="198"/>
      <c r="H1" s="198"/>
      <c r="K1" s="794" t="s">
        <v>82</v>
      </c>
      <c r="L1" s="794"/>
    </row>
    <row r="2" spans="1:12" ht="15.75">
      <c r="A2" s="762" t="s">
        <v>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</row>
    <row r="3" spans="1:12" ht="20.25">
      <c r="A3" s="763" t="s">
        <v>737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</row>
    <row r="4" spans="1:12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5.75">
      <c r="A5" s="778" t="s">
        <v>810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</row>
    <row r="6" spans="1:12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>
      <c r="A7" s="699" t="s">
        <v>665</v>
      </c>
      <c r="B7" s="699"/>
      <c r="C7" s="198"/>
      <c r="D7" s="198"/>
      <c r="E7" s="198"/>
      <c r="F7" s="198"/>
      <c r="G7" s="198"/>
      <c r="H7" s="134"/>
      <c r="I7" s="198"/>
      <c r="J7" s="198"/>
      <c r="K7" s="198"/>
      <c r="L7" s="198"/>
    </row>
    <row r="8" spans="1:12" ht="18">
      <c r="A8" s="41"/>
      <c r="B8" s="41"/>
      <c r="C8" s="198"/>
      <c r="D8" s="198"/>
      <c r="E8" s="198"/>
      <c r="F8" s="198"/>
      <c r="G8" s="198"/>
      <c r="H8" s="198"/>
      <c r="I8" s="55"/>
      <c r="J8" s="166"/>
      <c r="K8" s="793" t="s">
        <v>774</v>
      </c>
      <c r="L8" s="793"/>
    </row>
    <row r="9" spans="1:12" ht="27.75" customHeight="1">
      <c r="A9" s="935" t="s">
        <v>215</v>
      </c>
      <c r="B9" s="935" t="s">
        <v>214</v>
      </c>
      <c r="C9" s="668" t="s">
        <v>483</v>
      </c>
      <c r="D9" s="668" t="s">
        <v>484</v>
      </c>
      <c r="E9" s="934" t="s">
        <v>485</v>
      </c>
      <c r="F9" s="934"/>
      <c r="G9" s="934" t="s">
        <v>440</v>
      </c>
      <c r="H9" s="934"/>
      <c r="I9" s="934" t="s">
        <v>225</v>
      </c>
      <c r="J9" s="934"/>
      <c r="K9" s="785" t="s">
        <v>226</v>
      </c>
      <c r="L9" s="785"/>
    </row>
    <row r="10" spans="1:12" ht="25.5">
      <c r="A10" s="936"/>
      <c r="B10" s="936"/>
      <c r="C10" s="668"/>
      <c r="D10" s="668"/>
      <c r="E10" s="150" t="s">
        <v>213</v>
      </c>
      <c r="F10" s="150" t="s">
        <v>195</v>
      </c>
      <c r="G10" s="150" t="s">
        <v>213</v>
      </c>
      <c r="H10" s="150" t="s">
        <v>195</v>
      </c>
      <c r="I10" s="150" t="s">
        <v>213</v>
      </c>
      <c r="J10" s="150" t="s">
        <v>195</v>
      </c>
      <c r="K10" s="150" t="s">
        <v>213</v>
      </c>
      <c r="L10" s="150" t="s">
        <v>195</v>
      </c>
    </row>
    <row r="11" spans="1:12" s="5" customFormat="1">
      <c r="A11" s="184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</row>
    <row r="12" spans="1:12" s="5" customFormat="1">
      <c r="A12" s="204">
        <v>1</v>
      </c>
      <c r="B12" s="204" t="s">
        <v>624</v>
      </c>
      <c r="C12" s="320">
        <v>1156</v>
      </c>
      <c r="D12" s="320">
        <v>55705</v>
      </c>
      <c r="E12" s="320">
        <v>856</v>
      </c>
      <c r="F12" s="320">
        <v>44135</v>
      </c>
      <c r="G12" s="320">
        <v>851</v>
      </c>
      <c r="H12" s="320">
        <v>44062</v>
      </c>
      <c r="I12" s="320">
        <v>856</v>
      </c>
      <c r="J12" s="320">
        <v>44125</v>
      </c>
      <c r="K12" s="320">
        <v>0</v>
      </c>
      <c r="L12" s="320">
        <v>0</v>
      </c>
    </row>
    <row r="13" spans="1:12" s="5" customFormat="1">
      <c r="A13" s="204">
        <f>A12+1</f>
        <v>2</v>
      </c>
      <c r="B13" s="204" t="s">
        <v>589</v>
      </c>
      <c r="C13" s="320">
        <v>1315</v>
      </c>
      <c r="D13" s="320">
        <v>58581</v>
      </c>
      <c r="E13" s="320">
        <v>912</v>
      </c>
      <c r="F13" s="320">
        <v>51264</v>
      </c>
      <c r="G13" s="320">
        <v>906</v>
      </c>
      <c r="H13" s="320">
        <v>51194</v>
      </c>
      <c r="I13" s="320">
        <v>912</v>
      </c>
      <c r="J13" s="320">
        <v>51252</v>
      </c>
      <c r="K13" s="320">
        <v>0</v>
      </c>
      <c r="L13" s="320">
        <v>0</v>
      </c>
    </row>
    <row r="14" spans="1:12" s="5" customFormat="1">
      <c r="A14" s="204">
        <f t="shared" ref="A14:A44" si="0">A13+1</f>
        <v>3</v>
      </c>
      <c r="B14" s="204" t="s">
        <v>625</v>
      </c>
      <c r="C14" s="320">
        <v>866</v>
      </c>
      <c r="D14" s="320">
        <v>131222</v>
      </c>
      <c r="E14" s="320">
        <v>742</v>
      </c>
      <c r="F14" s="320">
        <v>97541</v>
      </c>
      <c r="G14" s="320">
        <v>740</v>
      </c>
      <c r="H14" s="320">
        <v>97462</v>
      </c>
      <c r="I14" s="320">
        <v>742</v>
      </c>
      <c r="J14" s="320">
        <v>97521</v>
      </c>
      <c r="K14" s="320">
        <v>883</v>
      </c>
      <c r="L14" s="320">
        <v>4834</v>
      </c>
    </row>
    <row r="15" spans="1:12" s="5" customFormat="1">
      <c r="A15" s="204">
        <f t="shared" si="0"/>
        <v>4</v>
      </c>
      <c r="B15" s="204" t="s">
        <v>590</v>
      </c>
      <c r="C15" s="320">
        <v>772</v>
      </c>
      <c r="D15" s="320">
        <v>46002</v>
      </c>
      <c r="E15" s="320">
        <v>555</v>
      </c>
      <c r="F15" s="320">
        <v>40137</v>
      </c>
      <c r="G15" s="320">
        <v>552</v>
      </c>
      <c r="H15" s="320">
        <v>40080</v>
      </c>
      <c r="I15" s="320">
        <v>555</v>
      </c>
      <c r="J15" s="320">
        <v>40125</v>
      </c>
      <c r="K15" s="320">
        <v>0</v>
      </c>
      <c r="L15" s="320">
        <v>0</v>
      </c>
    </row>
    <row r="16" spans="1:12" s="5" customFormat="1">
      <c r="A16" s="204">
        <f t="shared" si="0"/>
        <v>5</v>
      </c>
      <c r="B16" s="204" t="s">
        <v>591</v>
      </c>
      <c r="C16" s="320">
        <v>511</v>
      </c>
      <c r="D16" s="320">
        <v>28538</v>
      </c>
      <c r="E16" s="320">
        <v>412</v>
      </c>
      <c r="F16" s="320">
        <v>26566</v>
      </c>
      <c r="G16" s="320">
        <v>404</v>
      </c>
      <c r="H16" s="320">
        <v>26435</v>
      </c>
      <c r="I16" s="320">
        <v>412</v>
      </c>
      <c r="J16" s="320">
        <v>26521</v>
      </c>
      <c r="K16" s="320">
        <v>0</v>
      </c>
      <c r="L16" s="320">
        <v>335</v>
      </c>
    </row>
    <row r="17" spans="1:14" s="5" customFormat="1">
      <c r="A17" s="204">
        <f t="shared" si="0"/>
        <v>6</v>
      </c>
      <c r="B17" s="204" t="s">
        <v>592</v>
      </c>
      <c r="C17" s="320">
        <v>417</v>
      </c>
      <c r="D17" s="320">
        <v>17936</v>
      </c>
      <c r="E17" s="320">
        <v>365</v>
      </c>
      <c r="F17" s="320">
        <v>17927</v>
      </c>
      <c r="G17" s="320">
        <v>361</v>
      </c>
      <c r="H17" s="320">
        <v>17779</v>
      </c>
      <c r="I17" s="320">
        <v>365</v>
      </c>
      <c r="J17" s="320">
        <v>17891</v>
      </c>
      <c r="K17" s="320">
        <v>7</v>
      </c>
      <c r="L17" s="320">
        <v>0</v>
      </c>
    </row>
    <row r="18" spans="1:14" s="5" customFormat="1">
      <c r="A18" s="204">
        <f t="shared" si="0"/>
        <v>7</v>
      </c>
      <c r="B18" s="204" t="s">
        <v>593</v>
      </c>
      <c r="C18" s="320">
        <v>462</v>
      </c>
      <c r="D18" s="320">
        <v>52931</v>
      </c>
      <c r="E18" s="320">
        <v>346</v>
      </c>
      <c r="F18" s="320">
        <v>48314</v>
      </c>
      <c r="G18" s="320">
        <v>341</v>
      </c>
      <c r="H18" s="320">
        <v>48277</v>
      </c>
      <c r="I18" s="320">
        <v>346</v>
      </c>
      <c r="J18" s="320">
        <v>48302</v>
      </c>
      <c r="K18" s="320">
        <v>162</v>
      </c>
      <c r="L18" s="320">
        <v>75</v>
      </c>
    </row>
    <row r="19" spans="1:14" s="5" customFormat="1">
      <c r="A19" s="204">
        <f t="shared" si="0"/>
        <v>8</v>
      </c>
      <c r="B19" s="204" t="s">
        <v>594</v>
      </c>
      <c r="C19" s="320">
        <v>1008</v>
      </c>
      <c r="D19" s="320">
        <v>68386</v>
      </c>
      <c r="E19" s="320">
        <v>867</v>
      </c>
      <c r="F19" s="320">
        <v>58437</v>
      </c>
      <c r="G19" s="320">
        <v>858</v>
      </c>
      <c r="H19" s="320">
        <v>58086</v>
      </c>
      <c r="I19" s="320">
        <v>867</v>
      </c>
      <c r="J19" s="320">
        <v>58419</v>
      </c>
      <c r="K19" s="320">
        <v>347</v>
      </c>
      <c r="L19" s="320">
        <v>1112</v>
      </c>
    </row>
    <row r="20" spans="1:14" s="5" customFormat="1">
      <c r="A20" s="204">
        <f t="shared" si="0"/>
        <v>9</v>
      </c>
      <c r="B20" s="204" t="s">
        <v>595</v>
      </c>
      <c r="C20" s="320">
        <v>641</v>
      </c>
      <c r="D20" s="320">
        <v>33534</v>
      </c>
      <c r="E20" s="320">
        <v>519</v>
      </c>
      <c r="F20" s="320">
        <v>28217</v>
      </c>
      <c r="G20" s="320">
        <v>512</v>
      </c>
      <c r="H20" s="320">
        <v>27894</v>
      </c>
      <c r="I20" s="320">
        <v>519</v>
      </c>
      <c r="J20" s="320">
        <v>28145</v>
      </c>
      <c r="K20" s="320">
        <v>0</v>
      </c>
      <c r="L20" s="320">
        <v>0</v>
      </c>
    </row>
    <row r="21" spans="1:14" s="5" customFormat="1">
      <c r="A21" s="204">
        <f t="shared" si="0"/>
        <v>10</v>
      </c>
      <c r="B21" s="204" t="s">
        <v>596</v>
      </c>
      <c r="C21" s="320">
        <v>1241</v>
      </c>
      <c r="D21" s="320">
        <v>70245</v>
      </c>
      <c r="E21" s="320">
        <v>980</v>
      </c>
      <c r="F21" s="320">
        <v>51884</v>
      </c>
      <c r="G21" s="320">
        <v>974</v>
      </c>
      <c r="H21" s="320">
        <v>51255</v>
      </c>
      <c r="I21" s="320">
        <v>980</v>
      </c>
      <c r="J21" s="320">
        <v>51839</v>
      </c>
      <c r="K21" s="320">
        <v>496</v>
      </c>
      <c r="L21" s="320">
        <v>2549</v>
      </c>
    </row>
    <row r="22" spans="1:14" s="5" customFormat="1">
      <c r="A22" s="204">
        <f t="shared" si="0"/>
        <v>11</v>
      </c>
      <c r="B22" s="204" t="s">
        <v>626</v>
      </c>
      <c r="C22" s="320">
        <v>1009</v>
      </c>
      <c r="D22" s="320">
        <v>39432</v>
      </c>
      <c r="E22" s="320">
        <v>886</v>
      </c>
      <c r="F22" s="320">
        <v>37824</v>
      </c>
      <c r="G22" s="320">
        <v>881</v>
      </c>
      <c r="H22" s="320">
        <v>37291</v>
      </c>
      <c r="I22" s="320">
        <v>886</v>
      </c>
      <c r="J22" s="320">
        <v>37812</v>
      </c>
      <c r="K22" s="320">
        <v>64</v>
      </c>
      <c r="L22" s="320">
        <v>307</v>
      </c>
    </row>
    <row r="23" spans="1:14" s="5" customFormat="1">
      <c r="A23" s="204">
        <f t="shared" si="0"/>
        <v>12</v>
      </c>
      <c r="B23" s="204" t="s">
        <v>597</v>
      </c>
      <c r="C23" s="320">
        <v>902</v>
      </c>
      <c r="D23" s="320">
        <v>40339</v>
      </c>
      <c r="E23" s="320">
        <v>823</v>
      </c>
      <c r="F23" s="320">
        <v>37668</v>
      </c>
      <c r="G23" s="320">
        <v>815</v>
      </c>
      <c r="H23" s="320">
        <v>37556</v>
      </c>
      <c r="I23" s="320">
        <v>823</v>
      </c>
      <c r="J23" s="320">
        <v>37652</v>
      </c>
      <c r="K23" s="320">
        <v>0</v>
      </c>
      <c r="L23" s="320">
        <v>0</v>
      </c>
    </row>
    <row r="24" spans="1:14" s="5" customFormat="1">
      <c r="A24" s="204">
        <f t="shared" si="0"/>
        <v>13</v>
      </c>
      <c r="B24" s="204" t="s">
        <v>598</v>
      </c>
      <c r="C24" s="320">
        <v>857</v>
      </c>
      <c r="D24" s="320">
        <v>63621</v>
      </c>
      <c r="E24" s="320">
        <v>769</v>
      </c>
      <c r="F24" s="320">
        <v>51357</v>
      </c>
      <c r="G24" s="320">
        <v>757</v>
      </c>
      <c r="H24" s="320">
        <v>51273</v>
      </c>
      <c r="I24" s="320">
        <v>769</v>
      </c>
      <c r="J24" s="320">
        <v>51325</v>
      </c>
      <c r="K24" s="320">
        <v>1011</v>
      </c>
      <c r="L24" s="320">
        <v>372</v>
      </c>
    </row>
    <row r="25" spans="1:14" s="5" customFormat="1">
      <c r="A25" s="204">
        <f t="shared" si="0"/>
        <v>14</v>
      </c>
      <c r="B25" s="204" t="s">
        <v>627</v>
      </c>
      <c r="C25" s="320">
        <v>769</v>
      </c>
      <c r="D25" s="320">
        <v>36773</v>
      </c>
      <c r="E25" s="320">
        <v>669</v>
      </c>
      <c r="F25" s="320">
        <v>32554</v>
      </c>
      <c r="G25" s="320">
        <v>655</v>
      </c>
      <c r="H25" s="320">
        <v>32493</v>
      </c>
      <c r="I25" s="320">
        <v>669</v>
      </c>
      <c r="J25" s="320">
        <v>32539</v>
      </c>
      <c r="K25" s="320">
        <v>0</v>
      </c>
      <c r="L25" s="320">
        <v>0</v>
      </c>
    </row>
    <row r="26" spans="1:14" s="5" customFormat="1">
      <c r="A26" s="204">
        <f t="shared" si="0"/>
        <v>15</v>
      </c>
      <c r="B26" s="204" t="s">
        <v>599</v>
      </c>
      <c r="C26" s="320">
        <v>891</v>
      </c>
      <c r="D26" s="320">
        <v>63538</v>
      </c>
      <c r="E26" s="320">
        <v>772</v>
      </c>
      <c r="F26" s="320">
        <v>52161</v>
      </c>
      <c r="G26" s="320">
        <v>766</v>
      </c>
      <c r="H26" s="320">
        <v>52060</v>
      </c>
      <c r="I26" s="320">
        <v>772</v>
      </c>
      <c r="J26" s="320">
        <v>52145</v>
      </c>
      <c r="K26" s="320">
        <v>270</v>
      </c>
      <c r="L26" s="320">
        <v>1228</v>
      </c>
    </row>
    <row r="27" spans="1:14" s="5" customFormat="1">
      <c r="A27" s="204">
        <f t="shared" si="0"/>
        <v>16</v>
      </c>
      <c r="B27" s="204" t="s">
        <v>600</v>
      </c>
      <c r="C27" s="320">
        <v>514</v>
      </c>
      <c r="D27" s="320">
        <v>66103</v>
      </c>
      <c r="E27" s="320">
        <v>416</v>
      </c>
      <c r="F27" s="320">
        <v>61866</v>
      </c>
      <c r="G27" s="320">
        <v>397</v>
      </c>
      <c r="H27" s="320">
        <v>61780</v>
      </c>
      <c r="I27" s="320">
        <v>416</v>
      </c>
      <c r="J27" s="320">
        <v>61852</v>
      </c>
      <c r="K27" s="320">
        <v>0</v>
      </c>
      <c r="L27" s="320">
        <v>0</v>
      </c>
    </row>
    <row r="28" spans="1:14" s="5" customFormat="1">
      <c r="A28" s="204">
        <f t="shared" si="0"/>
        <v>17</v>
      </c>
      <c r="B28" s="529" t="s">
        <v>684</v>
      </c>
      <c r="C28" s="320">
        <v>409</v>
      </c>
      <c r="D28" s="320">
        <v>15568</v>
      </c>
      <c r="E28" s="320">
        <v>371</v>
      </c>
      <c r="F28" s="320">
        <v>12581</v>
      </c>
      <c r="G28" s="320">
        <v>353</v>
      </c>
      <c r="H28" s="320">
        <v>12490</v>
      </c>
      <c r="I28" s="320">
        <v>371</v>
      </c>
      <c r="J28" s="320">
        <v>12563</v>
      </c>
      <c r="K28" s="320">
        <v>0</v>
      </c>
      <c r="L28" s="320">
        <v>0</v>
      </c>
    </row>
    <row r="29" spans="1:14">
      <c r="A29" s="204">
        <f t="shared" si="0"/>
        <v>18</v>
      </c>
      <c r="B29" s="204" t="s">
        <v>601</v>
      </c>
      <c r="C29" s="320">
        <v>832</v>
      </c>
      <c r="D29" s="320">
        <v>51797</v>
      </c>
      <c r="E29" s="323">
        <v>669</v>
      </c>
      <c r="F29" s="323">
        <v>46570</v>
      </c>
      <c r="G29" s="323">
        <v>655</v>
      </c>
      <c r="H29" s="323">
        <v>46509</v>
      </c>
      <c r="I29" s="323">
        <v>669</v>
      </c>
      <c r="J29" s="323">
        <v>46525</v>
      </c>
      <c r="K29" s="323">
        <v>585</v>
      </c>
      <c r="L29" s="323">
        <v>372</v>
      </c>
      <c r="M29" s="5"/>
      <c r="N29" s="5"/>
    </row>
    <row r="30" spans="1:14">
      <c r="A30" s="204">
        <f t="shared" si="0"/>
        <v>19</v>
      </c>
      <c r="B30" s="204" t="s">
        <v>602</v>
      </c>
      <c r="C30" s="320">
        <v>1430</v>
      </c>
      <c r="D30" s="320">
        <v>83658</v>
      </c>
      <c r="E30" s="323">
        <v>1289</v>
      </c>
      <c r="F30" s="323">
        <v>73544</v>
      </c>
      <c r="G30" s="323">
        <v>1283</v>
      </c>
      <c r="H30" s="323">
        <v>73472</v>
      </c>
      <c r="I30" s="323">
        <v>1289</v>
      </c>
      <c r="J30" s="323">
        <v>73521</v>
      </c>
      <c r="K30" s="323">
        <v>712</v>
      </c>
      <c r="L30" s="323">
        <v>662</v>
      </c>
      <c r="M30" s="5"/>
      <c r="N30" s="5"/>
    </row>
    <row r="31" spans="1:14" s="527" customFormat="1">
      <c r="A31" s="204">
        <f t="shared" si="0"/>
        <v>20</v>
      </c>
      <c r="B31" s="529" t="s">
        <v>683</v>
      </c>
      <c r="C31" s="320">
        <v>492</v>
      </c>
      <c r="D31" s="320">
        <v>51014</v>
      </c>
      <c r="E31" s="323">
        <v>401</v>
      </c>
      <c r="F31" s="323">
        <v>45657</v>
      </c>
      <c r="G31" s="323">
        <v>394</v>
      </c>
      <c r="H31" s="323">
        <v>45546</v>
      </c>
      <c r="I31" s="323">
        <v>401</v>
      </c>
      <c r="J31" s="323">
        <v>45631</v>
      </c>
      <c r="K31" s="323">
        <v>0</v>
      </c>
      <c r="L31" s="323">
        <v>0</v>
      </c>
      <c r="M31" s="5"/>
      <c r="N31" s="5"/>
    </row>
    <row r="32" spans="1:14">
      <c r="A32" s="204">
        <f t="shared" si="0"/>
        <v>21</v>
      </c>
      <c r="B32" s="529" t="s">
        <v>628</v>
      </c>
      <c r="C32" s="320">
        <v>767</v>
      </c>
      <c r="D32" s="320">
        <v>41509</v>
      </c>
      <c r="E32" s="323">
        <v>658</v>
      </c>
      <c r="F32" s="323">
        <v>31536</v>
      </c>
      <c r="G32" s="323">
        <v>653</v>
      </c>
      <c r="H32" s="323">
        <v>31270</v>
      </c>
      <c r="I32" s="323">
        <v>658</v>
      </c>
      <c r="J32" s="323">
        <v>31521</v>
      </c>
      <c r="K32" s="323">
        <v>178</v>
      </c>
      <c r="L32" s="323">
        <v>50</v>
      </c>
      <c r="M32" s="5"/>
      <c r="N32" s="5"/>
    </row>
    <row r="33" spans="1:14">
      <c r="A33" s="204">
        <f t="shared" si="0"/>
        <v>22</v>
      </c>
      <c r="B33" s="204" t="s">
        <v>603</v>
      </c>
      <c r="C33" s="320">
        <v>1208</v>
      </c>
      <c r="D33" s="320">
        <v>85477</v>
      </c>
      <c r="E33" s="323">
        <v>1103</v>
      </c>
      <c r="F33" s="323">
        <v>72540</v>
      </c>
      <c r="G33" s="323">
        <v>1101</v>
      </c>
      <c r="H33" s="323">
        <v>72363</v>
      </c>
      <c r="I33" s="323">
        <v>1103</v>
      </c>
      <c r="J33" s="323">
        <v>72515</v>
      </c>
      <c r="K33" s="323">
        <v>269</v>
      </c>
      <c r="L33" s="323">
        <v>1101</v>
      </c>
      <c r="M33" s="5"/>
      <c r="N33" s="5"/>
    </row>
    <row r="34" spans="1:14">
      <c r="A34" s="204">
        <f t="shared" si="0"/>
        <v>23</v>
      </c>
      <c r="B34" s="204" t="s">
        <v>604</v>
      </c>
      <c r="C34" s="320">
        <v>529</v>
      </c>
      <c r="D34" s="320">
        <v>25990</v>
      </c>
      <c r="E34" s="323">
        <v>419</v>
      </c>
      <c r="F34" s="323">
        <v>22559</v>
      </c>
      <c r="G34" s="323">
        <v>410</v>
      </c>
      <c r="H34" s="323">
        <v>22346</v>
      </c>
      <c r="I34" s="323">
        <v>419</v>
      </c>
      <c r="J34" s="323">
        <v>22514</v>
      </c>
      <c r="K34" s="323">
        <v>0</v>
      </c>
      <c r="L34" s="323">
        <v>0</v>
      </c>
      <c r="M34" s="5"/>
      <c r="N34" s="5"/>
    </row>
    <row r="35" spans="1:14">
      <c r="A35" s="204">
        <f t="shared" si="0"/>
        <v>24</v>
      </c>
      <c r="B35" s="204" t="s">
        <v>605</v>
      </c>
      <c r="C35" s="320">
        <v>480</v>
      </c>
      <c r="D35" s="320">
        <v>28050</v>
      </c>
      <c r="E35" s="323">
        <v>398</v>
      </c>
      <c r="F35" s="323">
        <v>25510</v>
      </c>
      <c r="G35" s="323">
        <v>394</v>
      </c>
      <c r="H35" s="323">
        <v>25203</v>
      </c>
      <c r="I35" s="323">
        <v>398</v>
      </c>
      <c r="J35" s="323">
        <v>25425</v>
      </c>
      <c r="K35" s="323">
        <v>0</v>
      </c>
      <c r="L35" s="323">
        <v>0</v>
      </c>
      <c r="M35" s="5"/>
      <c r="N35" s="5"/>
    </row>
    <row r="36" spans="1:14">
      <c r="A36" s="204">
        <f t="shared" si="0"/>
        <v>25</v>
      </c>
      <c r="B36" s="204" t="s">
        <v>606</v>
      </c>
      <c r="C36" s="320">
        <v>1320</v>
      </c>
      <c r="D36" s="320">
        <v>121879</v>
      </c>
      <c r="E36" s="323">
        <v>1212</v>
      </c>
      <c r="F36" s="323">
        <v>92504</v>
      </c>
      <c r="G36" s="323">
        <v>1204</v>
      </c>
      <c r="H36" s="323">
        <v>92430</v>
      </c>
      <c r="I36" s="323">
        <v>1212</v>
      </c>
      <c r="J36" s="323">
        <v>92452</v>
      </c>
      <c r="K36" s="323">
        <v>663</v>
      </c>
      <c r="L36" s="323">
        <v>0</v>
      </c>
      <c r="M36" s="5"/>
      <c r="N36" s="5"/>
    </row>
    <row r="37" spans="1:14">
      <c r="A37" s="204">
        <f t="shared" si="0"/>
        <v>26</v>
      </c>
      <c r="B37" s="204" t="s">
        <v>607</v>
      </c>
      <c r="C37" s="320">
        <v>1272</v>
      </c>
      <c r="D37" s="320">
        <v>93797</v>
      </c>
      <c r="E37" s="323">
        <v>1152</v>
      </c>
      <c r="F37" s="323">
        <v>76292</v>
      </c>
      <c r="G37" s="323">
        <v>1143</v>
      </c>
      <c r="H37" s="323">
        <v>76017</v>
      </c>
      <c r="I37" s="323">
        <v>1152</v>
      </c>
      <c r="J37" s="323">
        <v>76251</v>
      </c>
      <c r="K37" s="323">
        <v>0</v>
      </c>
      <c r="L37" s="323">
        <v>0</v>
      </c>
      <c r="M37" s="5"/>
      <c r="N37" s="5"/>
    </row>
    <row r="38" spans="1:14">
      <c r="A38" s="204">
        <f t="shared" si="0"/>
        <v>27</v>
      </c>
      <c r="B38" s="204" t="s">
        <v>608</v>
      </c>
      <c r="C38" s="320">
        <v>963</v>
      </c>
      <c r="D38" s="320">
        <v>64086</v>
      </c>
      <c r="E38" s="323">
        <v>863</v>
      </c>
      <c r="F38" s="323">
        <v>61088</v>
      </c>
      <c r="G38" s="323">
        <v>855</v>
      </c>
      <c r="H38" s="323">
        <v>60856</v>
      </c>
      <c r="I38" s="323">
        <v>863</v>
      </c>
      <c r="J38" s="323">
        <v>61025</v>
      </c>
      <c r="K38" s="323">
        <v>0</v>
      </c>
      <c r="L38" s="323">
        <v>0</v>
      </c>
      <c r="M38" s="5"/>
      <c r="N38" s="5"/>
    </row>
    <row r="39" spans="1:14">
      <c r="A39" s="204">
        <f t="shared" si="0"/>
        <v>28</v>
      </c>
      <c r="B39" s="204" t="s">
        <v>609</v>
      </c>
      <c r="C39" s="320">
        <v>951</v>
      </c>
      <c r="D39" s="320">
        <v>49353</v>
      </c>
      <c r="E39" s="323">
        <v>769</v>
      </c>
      <c r="F39" s="323">
        <v>40194</v>
      </c>
      <c r="G39" s="323">
        <v>760</v>
      </c>
      <c r="H39" s="323">
        <v>40005</v>
      </c>
      <c r="I39" s="323">
        <v>769</v>
      </c>
      <c r="J39" s="323">
        <v>40152</v>
      </c>
      <c r="K39" s="323">
        <v>264</v>
      </c>
      <c r="L39" s="323">
        <v>285</v>
      </c>
      <c r="M39" s="5"/>
      <c r="N39" s="5"/>
    </row>
    <row r="40" spans="1:14">
      <c r="A40" s="204">
        <f t="shared" si="0"/>
        <v>29</v>
      </c>
      <c r="B40" s="204" t="s">
        <v>610</v>
      </c>
      <c r="C40" s="320">
        <v>1033</v>
      </c>
      <c r="D40" s="320">
        <v>74649</v>
      </c>
      <c r="E40" s="323">
        <v>872</v>
      </c>
      <c r="F40" s="323">
        <v>71333</v>
      </c>
      <c r="G40" s="323">
        <v>860</v>
      </c>
      <c r="H40" s="323">
        <v>71172</v>
      </c>
      <c r="I40" s="323">
        <v>872</v>
      </c>
      <c r="J40" s="323">
        <v>71258</v>
      </c>
      <c r="K40" s="323">
        <v>0</v>
      </c>
      <c r="L40" s="323">
        <v>0</v>
      </c>
      <c r="M40" s="5"/>
      <c r="N40" s="5"/>
    </row>
    <row r="41" spans="1:14">
      <c r="A41" s="204">
        <f t="shared" si="0"/>
        <v>30</v>
      </c>
      <c r="B41" s="502" t="s">
        <v>611</v>
      </c>
      <c r="C41" s="320">
        <v>509</v>
      </c>
      <c r="D41" s="320">
        <v>37101</v>
      </c>
      <c r="E41" s="255">
        <v>476</v>
      </c>
      <c r="F41" s="378">
        <v>33296</v>
      </c>
      <c r="G41" s="255">
        <v>458</v>
      </c>
      <c r="H41" s="378">
        <v>33170</v>
      </c>
      <c r="I41" s="255">
        <v>476</v>
      </c>
      <c r="J41" s="378">
        <v>33251</v>
      </c>
      <c r="K41" s="255">
        <v>531</v>
      </c>
      <c r="L41" s="378">
        <v>811</v>
      </c>
      <c r="M41" s="5"/>
      <c r="N41" s="5"/>
    </row>
    <row r="42" spans="1:14">
      <c r="A42" s="204">
        <f t="shared" si="0"/>
        <v>31</v>
      </c>
      <c r="B42" s="502" t="s">
        <v>612</v>
      </c>
      <c r="C42" s="320">
        <v>607</v>
      </c>
      <c r="D42" s="320">
        <v>28192</v>
      </c>
      <c r="E42" s="323">
        <v>524</v>
      </c>
      <c r="F42" s="323">
        <v>24137</v>
      </c>
      <c r="G42" s="323">
        <v>508</v>
      </c>
      <c r="H42" s="323">
        <v>24043</v>
      </c>
      <c r="I42" s="323">
        <v>524</v>
      </c>
      <c r="J42" s="323">
        <v>24125</v>
      </c>
      <c r="K42" s="323">
        <v>626</v>
      </c>
      <c r="L42" s="323">
        <v>0</v>
      </c>
      <c r="M42" s="5"/>
      <c r="N42" s="5"/>
    </row>
    <row r="43" spans="1:14">
      <c r="A43" s="204">
        <f t="shared" si="0"/>
        <v>32</v>
      </c>
      <c r="B43" s="502" t="s">
        <v>613</v>
      </c>
      <c r="C43" s="320">
        <v>524</v>
      </c>
      <c r="D43" s="320">
        <v>36279</v>
      </c>
      <c r="E43" s="323">
        <v>498</v>
      </c>
      <c r="F43" s="323">
        <v>35346</v>
      </c>
      <c r="G43" s="323">
        <v>484</v>
      </c>
      <c r="H43" s="323">
        <v>35222</v>
      </c>
      <c r="I43" s="323">
        <v>498</v>
      </c>
      <c r="J43" s="323">
        <v>35310</v>
      </c>
      <c r="K43" s="323">
        <v>0</v>
      </c>
      <c r="L43" s="323">
        <v>0</v>
      </c>
      <c r="N43" s="5"/>
    </row>
    <row r="44" spans="1:14">
      <c r="A44" s="204">
        <f t="shared" si="0"/>
        <v>33</v>
      </c>
      <c r="B44" s="502" t="s">
        <v>614</v>
      </c>
      <c r="C44" s="320">
        <v>672</v>
      </c>
      <c r="D44" s="320">
        <v>34671</v>
      </c>
      <c r="E44" s="323">
        <v>569</v>
      </c>
      <c r="F44" s="323">
        <v>33277</v>
      </c>
      <c r="G44" s="323">
        <v>554</v>
      </c>
      <c r="H44" s="323">
        <v>33152</v>
      </c>
      <c r="I44" s="323">
        <v>569</v>
      </c>
      <c r="J44" s="323">
        <v>33251</v>
      </c>
      <c r="K44" s="323">
        <v>85</v>
      </c>
      <c r="L44" s="323">
        <v>12</v>
      </c>
      <c r="M44" s="5"/>
      <c r="N44" s="5"/>
    </row>
    <row r="45" spans="1:14">
      <c r="A45" s="151"/>
      <c r="B45" s="151" t="s">
        <v>615</v>
      </c>
      <c r="C45" s="295">
        <f>SUM(C12:C44)</f>
        <v>27329</v>
      </c>
      <c r="D45" s="295">
        <f t="shared" ref="D45:L45" si="1">SUM(D12:D44)</f>
        <v>1795956</v>
      </c>
      <c r="E45" s="295">
        <f t="shared" si="1"/>
        <v>23132</v>
      </c>
      <c r="F45" s="295">
        <f t="shared" si="1"/>
        <v>1535816</v>
      </c>
      <c r="G45" s="295">
        <f t="shared" si="1"/>
        <v>22839</v>
      </c>
      <c r="H45" s="295">
        <f t="shared" si="1"/>
        <v>1530243</v>
      </c>
      <c r="I45" s="295">
        <f t="shared" si="1"/>
        <v>23132</v>
      </c>
      <c r="J45" s="295">
        <f t="shared" si="1"/>
        <v>1534755</v>
      </c>
      <c r="K45" s="295">
        <f t="shared" si="1"/>
        <v>7153</v>
      </c>
      <c r="L45" s="295">
        <f t="shared" si="1"/>
        <v>14105</v>
      </c>
    </row>
    <row r="46" spans="1:14">
      <c r="A46" s="215"/>
      <c r="B46" s="215"/>
      <c r="C46" s="198"/>
      <c r="D46" s="198"/>
      <c r="E46" s="198"/>
      <c r="F46" s="198"/>
      <c r="G46" s="198"/>
      <c r="H46" s="198"/>
      <c r="I46" s="198"/>
      <c r="J46" s="198"/>
      <c r="K46" s="198"/>
      <c r="L46" s="198"/>
    </row>
    <row r="47" spans="1:14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</row>
    <row r="48" spans="1:14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</row>
    <row r="51" spans="9:12" ht="15.75">
      <c r="I51" s="761" t="s">
        <v>908</v>
      </c>
      <c r="J51" s="761"/>
      <c r="K51" s="761"/>
      <c r="L51" s="761"/>
    </row>
    <row r="52" spans="9:12" ht="15.75">
      <c r="I52" s="761" t="s">
        <v>646</v>
      </c>
      <c r="J52" s="761"/>
      <c r="K52" s="761"/>
      <c r="L52" s="761"/>
    </row>
  </sheetData>
  <mergeCells count="16">
    <mergeCell ref="A3:L3"/>
    <mergeCell ref="A2:L2"/>
    <mergeCell ref="I51:L51"/>
    <mergeCell ref="I52:L52"/>
    <mergeCell ref="K1:L1"/>
    <mergeCell ref="G9:H9"/>
    <mergeCell ref="D9:D10"/>
    <mergeCell ref="E9:F9"/>
    <mergeCell ref="I9:J9"/>
    <mergeCell ref="K9:L9"/>
    <mergeCell ref="K8:L8"/>
    <mergeCell ref="B9:B10"/>
    <mergeCell ref="A9:A10"/>
    <mergeCell ref="C9:C10"/>
    <mergeCell ref="A7:B7"/>
    <mergeCell ref="A5:L5"/>
  </mergeCells>
  <printOptions horizontalCentered="1"/>
  <pageMargins left="0.4" right="0.41" top="0.45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topLeftCell="A26" zoomScaleNormal="70" zoomScaleSheetLayoutView="100" workbookViewId="0">
      <selection activeCell="D45" sqref="D45:E45"/>
    </sheetView>
  </sheetViews>
  <sheetFormatPr defaultColWidth="8.85546875" defaultRowHeight="12.75"/>
  <cols>
    <col min="1" max="1" width="11.140625" style="198" customWidth="1"/>
    <col min="2" max="2" width="19.140625" style="198" customWidth="1"/>
    <col min="3" max="3" width="20.5703125" style="198" customWidth="1"/>
    <col min="4" max="4" width="22.28515625" style="198" customWidth="1"/>
    <col min="5" max="5" width="25.42578125" style="198" customWidth="1"/>
    <col min="6" max="6" width="27.42578125" style="198" customWidth="1"/>
    <col min="7" max="16384" width="8.85546875" style="198"/>
  </cols>
  <sheetData>
    <row r="1" spans="1:7" ht="12.75" customHeight="1">
      <c r="D1" s="131"/>
      <c r="E1" s="131"/>
      <c r="F1" s="132" t="s">
        <v>94</v>
      </c>
    </row>
    <row r="2" spans="1:7" ht="15" customHeight="1">
      <c r="B2" s="762" t="s">
        <v>0</v>
      </c>
      <c r="C2" s="762"/>
      <c r="D2" s="762"/>
      <c r="E2" s="762"/>
      <c r="F2" s="762"/>
    </row>
    <row r="3" spans="1:7" ht="20.25">
      <c r="B3" s="763" t="s">
        <v>737</v>
      </c>
      <c r="C3" s="763"/>
      <c r="D3" s="763"/>
      <c r="E3" s="763"/>
      <c r="F3" s="763"/>
    </row>
    <row r="4" spans="1:7" ht="11.25" customHeight="1"/>
    <row r="5" spans="1:7">
      <c r="A5" s="938" t="s">
        <v>437</v>
      </c>
      <c r="B5" s="938"/>
      <c r="C5" s="938"/>
      <c r="D5" s="938"/>
      <c r="E5" s="938"/>
      <c r="F5" s="938"/>
    </row>
    <row r="6" spans="1:7" ht="8.4499999999999993" customHeight="1">
      <c r="A6" s="164"/>
      <c r="B6" s="164"/>
      <c r="C6" s="164"/>
      <c r="D6" s="164"/>
      <c r="E6" s="164"/>
      <c r="F6" s="164"/>
    </row>
    <row r="7" spans="1:7" ht="18" customHeight="1">
      <c r="A7" s="699" t="s">
        <v>665</v>
      </c>
      <c r="B7" s="699"/>
    </row>
    <row r="8" spans="1:7" ht="18" hidden="1" customHeight="1">
      <c r="A8" s="41" t="s">
        <v>1</v>
      </c>
    </row>
    <row r="9" spans="1:7" ht="30.6" customHeight="1">
      <c r="A9" s="935" t="s">
        <v>2</v>
      </c>
      <c r="B9" s="935" t="s">
        <v>3</v>
      </c>
      <c r="C9" s="939" t="s">
        <v>433</v>
      </c>
      <c r="D9" s="940"/>
      <c r="E9" s="941" t="s">
        <v>436</v>
      </c>
      <c r="F9" s="941"/>
    </row>
    <row r="10" spans="1:7" s="44" customFormat="1" ht="25.5">
      <c r="A10" s="935"/>
      <c r="B10" s="935"/>
      <c r="C10" s="184" t="s">
        <v>434</v>
      </c>
      <c r="D10" s="184" t="s">
        <v>435</v>
      </c>
      <c r="E10" s="184" t="s">
        <v>434</v>
      </c>
      <c r="F10" s="184" t="s">
        <v>435</v>
      </c>
      <c r="G10" s="59"/>
    </row>
    <row r="11" spans="1:7">
      <c r="A11" s="77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</row>
    <row r="12" spans="1:7">
      <c r="A12" s="204">
        <v>1</v>
      </c>
      <c r="B12" s="204" t="s">
        <v>624</v>
      </c>
      <c r="C12" s="77">
        <v>929</v>
      </c>
      <c r="D12" s="77">
        <v>929</v>
      </c>
      <c r="E12" s="77">
        <v>227</v>
      </c>
      <c r="F12" s="77">
        <v>227</v>
      </c>
    </row>
    <row r="13" spans="1:7">
      <c r="A13" s="204">
        <f>A12+1</f>
        <v>2</v>
      </c>
      <c r="B13" s="204" t="s">
        <v>589</v>
      </c>
      <c r="C13" s="77">
        <v>1029</v>
      </c>
      <c r="D13" s="77">
        <v>1029</v>
      </c>
      <c r="E13" s="77">
        <v>286</v>
      </c>
      <c r="F13" s="77">
        <v>286</v>
      </c>
    </row>
    <row r="14" spans="1:7">
      <c r="A14" s="204">
        <f t="shared" ref="A14:A44" si="0">A13+1</f>
        <v>3</v>
      </c>
      <c r="B14" s="204" t="s">
        <v>625</v>
      </c>
      <c r="C14" s="77">
        <v>575</v>
      </c>
      <c r="D14" s="77">
        <v>575</v>
      </c>
      <c r="E14" s="77">
        <v>291</v>
      </c>
      <c r="F14" s="77">
        <v>291</v>
      </c>
    </row>
    <row r="15" spans="1:7">
      <c r="A15" s="204">
        <f t="shared" si="0"/>
        <v>4</v>
      </c>
      <c r="B15" s="204" t="s">
        <v>590</v>
      </c>
      <c r="C15" s="77">
        <v>487</v>
      </c>
      <c r="D15" s="77">
        <v>487</v>
      </c>
      <c r="E15" s="77">
        <v>285</v>
      </c>
      <c r="F15" s="77">
        <v>285</v>
      </c>
    </row>
    <row r="16" spans="1:7">
      <c r="A16" s="204">
        <f t="shared" si="0"/>
        <v>5</v>
      </c>
      <c r="B16" s="204" t="s">
        <v>591</v>
      </c>
      <c r="C16" s="77">
        <v>319</v>
      </c>
      <c r="D16" s="77">
        <v>319</v>
      </c>
      <c r="E16" s="77">
        <v>192</v>
      </c>
      <c r="F16" s="77">
        <v>192</v>
      </c>
    </row>
    <row r="17" spans="1:6">
      <c r="A17" s="204">
        <f t="shared" si="0"/>
        <v>6</v>
      </c>
      <c r="B17" s="204" t="s">
        <v>592</v>
      </c>
      <c r="C17" s="77">
        <v>298</v>
      </c>
      <c r="D17" s="77">
        <v>298</v>
      </c>
      <c r="E17" s="77">
        <v>119</v>
      </c>
      <c r="F17" s="77">
        <v>119</v>
      </c>
    </row>
    <row r="18" spans="1:6">
      <c r="A18" s="204">
        <f t="shared" si="0"/>
        <v>7</v>
      </c>
      <c r="B18" s="204" t="s">
        <v>593</v>
      </c>
      <c r="C18" s="77">
        <v>287</v>
      </c>
      <c r="D18" s="77">
        <v>287</v>
      </c>
      <c r="E18" s="77">
        <v>175</v>
      </c>
      <c r="F18" s="77">
        <v>175</v>
      </c>
    </row>
    <row r="19" spans="1:6">
      <c r="A19" s="204">
        <f t="shared" si="0"/>
        <v>8</v>
      </c>
      <c r="B19" s="204" t="s">
        <v>594</v>
      </c>
      <c r="C19" s="77">
        <v>681</v>
      </c>
      <c r="D19" s="77">
        <v>681</v>
      </c>
      <c r="E19" s="77">
        <v>327</v>
      </c>
      <c r="F19" s="77">
        <v>327</v>
      </c>
    </row>
    <row r="20" spans="1:6">
      <c r="A20" s="204">
        <f t="shared" si="0"/>
        <v>9</v>
      </c>
      <c r="B20" s="204" t="s">
        <v>595</v>
      </c>
      <c r="C20" s="77">
        <v>398</v>
      </c>
      <c r="D20" s="77">
        <v>398</v>
      </c>
      <c r="E20" s="77">
        <v>243</v>
      </c>
      <c r="F20" s="77">
        <v>243</v>
      </c>
    </row>
    <row r="21" spans="1:6">
      <c r="A21" s="204">
        <f t="shared" si="0"/>
        <v>10</v>
      </c>
      <c r="B21" s="204" t="s">
        <v>596</v>
      </c>
      <c r="C21" s="77">
        <v>826</v>
      </c>
      <c r="D21" s="77">
        <v>826</v>
      </c>
      <c r="E21" s="77">
        <v>415</v>
      </c>
      <c r="F21" s="77">
        <v>415</v>
      </c>
    </row>
    <row r="22" spans="1:6">
      <c r="A22" s="204">
        <f t="shared" si="0"/>
        <v>11</v>
      </c>
      <c r="B22" s="204" t="s">
        <v>626</v>
      </c>
      <c r="C22" s="77">
        <v>840</v>
      </c>
      <c r="D22" s="77">
        <v>840</v>
      </c>
      <c r="E22" s="77">
        <v>169</v>
      </c>
      <c r="F22" s="77">
        <v>169</v>
      </c>
    </row>
    <row r="23" spans="1:6">
      <c r="A23" s="204">
        <f t="shared" si="0"/>
        <v>12</v>
      </c>
      <c r="B23" s="204" t="s">
        <v>597</v>
      </c>
      <c r="C23" s="77">
        <v>668</v>
      </c>
      <c r="D23" s="77">
        <v>668</v>
      </c>
      <c r="E23" s="77">
        <v>234</v>
      </c>
      <c r="F23" s="77">
        <v>234</v>
      </c>
    </row>
    <row r="24" spans="1:6">
      <c r="A24" s="204">
        <f t="shared" si="0"/>
        <v>13</v>
      </c>
      <c r="B24" s="204" t="s">
        <v>598</v>
      </c>
      <c r="C24" s="77">
        <v>613</v>
      </c>
      <c r="D24" s="77">
        <v>613</v>
      </c>
      <c r="E24" s="77">
        <v>244</v>
      </c>
      <c r="F24" s="77">
        <v>244</v>
      </c>
    </row>
    <row r="25" spans="1:6">
      <c r="A25" s="204">
        <f t="shared" si="0"/>
        <v>14</v>
      </c>
      <c r="B25" s="204" t="s">
        <v>627</v>
      </c>
      <c r="C25" s="77">
        <v>551</v>
      </c>
      <c r="D25" s="77">
        <v>551</v>
      </c>
      <c r="E25" s="77">
        <v>218</v>
      </c>
      <c r="F25" s="77">
        <v>218</v>
      </c>
    </row>
    <row r="26" spans="1:6">
      <c r="A26" s="204">
        <f t="shared" si="0"/>
        <v>15</v>
      </c>
      <c r="B26" s="204" t="s">
        <v>599</v>
      </c>
      <c r="C26" s="77">
        <v>609</v>
      </c>
      <c r="D26" s="77">
        <v>609</v>
      </c>
      <c r="E26" s="77">
        <v>282</v>
      </c>
      <c r="F26" s="77">
        <v>282</v>
      </c>
    </row>
    <row r="27" spans="1:6">
      <c r="A27" s="204">
        <f t="shared" si="0"/>
        <v>16</v>
      </c>
      <c r="B27" s="204" t="s">
        <v>600</v>
      </c>
      <c r="C27" s="77">
        <v>371</v>
      </c>
      <c r="D27" s="77">
        <v>371</v>
      </c>
      <c r="E27" s="77">
        <v>143</v>
      </c>
      <c r="F27" s="77">
        <v>143</v>
      </c>
    </row>
    <row r="28" spans="1:6" s="530" customFormat="1">
      <c r="A28" s="204">
        <f t="shared" si="0"/>
        <v>17</v>
      </c>
      <c r="B28" s="529" t="s">
        <v>684</v>
      </c>
      <c r="C28" s="77">
        <v>322</v>
      </c>
      <c r="D28" s="77">
        <v>322</v>
      </c>
      <c r="E28" s="77">
        <v>87</v>
      </c>
      <c r="F28" s="77">
        <v>87</v>
      </c>
    </row>
    <row r="29" spans="1:6">
      <c r="A29" s="204">
        <f t="shared" si="0"/>
        <v>18</v>
      </c>
      <c r="B29" s="204" t="s">
        <v>601</v>
      </c>
      <c r="C29" s="77">
        <v>566</v>
      </c>
      <c r="D29" s="77">
        <v>566</v>
      </c>
      <c r="E29" s="77">
        <v>266</v>
      </c>
      <c r="F29" s="77">
        <v>266</v>
      </c>
    </row>
    <row r="30" spans="1:6">
      <c r="A30" s="204">
        <f t="shared" si="0"/>
        <v>19</v>
      </c>
      <c r="B30" s="204" t="s">
        <v>602</v>
      </c>
      <c r="C30" s="77">
        <v>1035</v>
      </c>
      <c r="D30" s="77">
        <v>1035</v>
      </c>
      <c r="E30" s="77">
        <v>395</v>
      </c>
      <c r="F30" s="77">
        <v>395</v>
      </c>
    </row>
    <row r="31" spans="1:6" s="530" customFormat="1">
      <c r="A31" s="204">
        <f t="shared" si="0"/>
        <v>20</v>
      </c>
      <c r="B31" s="529" t="s">
        <v>683</v>
      </c>
      <c r="C31" s="77">
        <v>324</v>
      </c>
      <c r="D31" s="77">
        <v>324</v>
      </c>
      <c r="E31" s="77">
        <v>168</v>
      </c>
      <c r="F31" s="77">
        <v>168</v>
      </c>
    </row>
    <row r="32" spans="1:6">
      <c r="A32" s="204">
        <f t="shared" si="0"/>
        <v>21</v>
      </c>
      <c r="B32" s="529" t="s">
        <v>628</v>
      </c>
      <c r="C32" s="77">
        <v>555</v>
      </c>
      <c r="D32" s="77">
        <v>555</v>
      </c>
      <c r="E32" s="77">
        <v>212</v>
      </c>
      <c r="F32" s="77">
        <v>212</v>
      </c>
    </row>
    <row r="33" spans="1:6">
      <c r="A33" s="204">
        <f t="shared" si="0"/>
        <v>22</v>
      </c>
      <c r="B33" s="204" t="s">
        <v>603</v>
      </c>
      <c r="C33" s="77">
        <v>791</v>
      </c>
      <c r="D33" s="77">
        <v>791</v>
      </c>
      <c r="E33" s="77">
        <v>417</v>
      </c>
      <c r="F33" s="77">
        <v>417</v>
      </c>
    </row>
    <row r="34" spans="1:6">
      <c r="A34" s="204">
        <f t="shared" si="0"/>
        <v>23</v>
      </c>
      <c r="B34" s="204" t="s">
        <v>604</v>
      </c>
      <c r="C34" s="77">
        <v>330</v>
      </c>
      <c r="D34" s="77">
        <v>330</v>
      </c>
      <c r="E34" s="77">
        <v>199</v>
      </c>
      <c r="F34" s="77">
        <v>199</v>
      </c>
    </row>
    <row r="35" spans="1:6">
      <c r="A35" s="204">
        <f t="shared" si="0"/>
        <v>24</v>
      </c>
      <c r="B35" s="204" t="s">
        <v>605</v>
      </c>
      <c r="C35" s="77">
        <v>321</v>
      </c>
      <c r="D35" s="77">
        <v>321</v>
      </c>
      <c r="E35" s="77">
        <v>159</v>
      </c>
      <c r="F35" s="77">
        <v>159</v>
      </c>
    </row>
    <row r="36" spans="1:6">
      <c r="A36" s="204">
        <f t="shared" si="0"/>
        <v>25</v>
      </c>
      <c r="B36" s="204" t="s">
        <v>606</v>
      </c>
      <c r="C36" s="77">
        <v>868</v>
      </c>
      <c r="D36" s="77">
        <v>868</v>
      </c>
      <c r="E36" s="77">
        <v>452</v>
      </c>
      <c r="F36" s="77">
        <v>452</v>
      </c>
    </row>
    <row r="37" spans="1:6">
      <c r="A37" s="204">
        <f t="shared" si="0"/>
        <v>26</v>
      </c>
      <c r="B37" s="204" t="s">
        <v>607</v>
      </c>
      <c r="C37" s="77">
        <v>858</v>
      </c>
      <c r="D37" s="77">
        <v>858</v>
      </c>
      <c r="E37" s="77">
        <v>414</v>
      </c>
      <c r="F37" s="77">
        <v>414</v>
      </c>
    </row>
    <row r="38" spans="1:6">
      <c r="A38" s="204">
        <f t="shared" si="0"/>
        <v>27</v>
      </c>
      <c r="B38" s="204" t="s">
        <v>608</v>
      </c>
      <c r="C38" s="77">
        <v>607</v>
      </c>
      <c r="D38" s="77">
        <v>607</v>
      </c>
      <c r="E38" s="77">
        <v>356</v>
      </c>
      <c r="F38" s="77">
        <v>356</v>
      </c>
    </row>
    <row r="39" spans="1:6">
      <c r="A39" s="204">
        <f t="shared" si="0"/>
        <v>28</v>
      </c>
      <c r="B39" s="204" t="s">
        <v>609</v>
      </c>
      <c r="C39" s="77">
        <v>672</v>
      </c>
      <c r="D39" s="77">
        <v>672</v>
      </c>
      <c r="E39" s="77">
        <v>279</v>
      </c>
      <c r="F39" s="77">
        <v>279</v>
      </c>
    </row>
    <row r="40" spans="1:6">
      <c r="A40" s="204">
        <f t="shared" si="0"/>
        <v>29</v>
      </c>
      <c r="B40" s="204" t="s">
        <v>610</v>
      </c>
      <c r="C40" s="77">
        <v>732</v>
      </c>
      <c r="D40" s="77">
        <v>732</v>
      </c>
      <c r="E40" s="77">
        <v>301</v>
      </c>
      <c r="F40" s="77">
        <v>301</v>
      </c>
    </row>
    <row r="41" spans="1:6">
      <c r="A41" s="204">
        <f t="shared" si="0"/>
        <v>30</v>
      </c>
      <c r="B41" s="502" t="s">
        <v>611</v>
      </c>
      <c r="C41" s="77">
        <v>346</v>
      </c>
      <c r="D41" s="77">
        <v>346</v>
      </c>
      <c r="E41" s="77">
        <v>163</v>
      </c>
      <c r="F41" s="77">
        <v>163</v>
      </c>
    </row>
    <row r="42" spans="1:6">
      <c r="A42" s="204">
        <f t="shared" si="0"/>
        <v>31</v>
      </c>
      <c r="B42" s="502" t="s">
        <v>612</v>
      </c>
      <c r="C42" s="77">
        <v>386</v>
      </c>
      <c r="D42" s="77">
        <v>386</v>
      </c>
      <c r="E42" s="77">
        <v>221</v>
      </c>
      <c r="F42" s="77">
        <v>221</v>
      </c>
    </row>
    <row r="43" spans="1:6">
      <c r="A43" s="204">
        <f t="shared" si="0"/>
        <v>32</v>
      </c>
      <c r="B43" s="502" t="s">
        <v>613</v>
      </c>
      <c r="C43" s="77">
        <v>324</v>
      </c>
      <c r="D43" s="77">
        <v>324</v>
      </c>
      <c r="E43" s="77">
        <v>200</v>
      </c>
      <c r="F43" s="77">
        <v>200</v>
      </c>
    </row>
    <row r="44" spans="1:6">
      <c r="A44" s="204">
        <f t="shared" si="0"/>
        <v>33</v>
      </c>
      <c r="B44" s="502" t="s">
        <v>614</v>
      </c>
      <c r="C44" s="77">
        <v>448</v>
      </c>
      <c r="D44" s="77">
        <v>448</v>
      </c>
      <c r="E44" s="77">
        <v>224</v>
      </c>
      <c r="F44" s="77">
        <v>224</v>
      </c>
    </row>
    <row r="45" spans="1:6">
      <c r="A45" s="151"/>
      <c r="B45" s="151" t="s">
        <v>615</v>
      </c>
      <c r="C45" s="351">
        <f>SUM(C12:C44)</f>
        <v>18966</v>
      </c>
      <c r="D45" s="351">
        <f>SUM(D12:D44)</f>
        <v>18966</v>
      </c>
      <c r="E45" s="351">
        <f>SUM(E12:E44)</f>
        <v>8363</v>
      </c>
      <c r="F45" s="351">
        <f>SUM(F12:F44)</f>
        <v>8363</v>
      </c>
    </row>
    <row r="46" spans="1:6">
      <c r="A46" s="43"/>
      <c r="B46" s="140"/>
      <c r="C46" s="140"/>
      <c r="D46" s="140"/>
      <c r="E46" s="140"/>
      <c r="F46" s="140"/>
    </row>
    <row r="47" spans="1:6">
      <c r="C47" s="198" t="s">
        <v>11</v>
      </c>
    </row>
    <row r="48" spans="1:6">
      <c r="A48" s="937"/>
      <c r="B48" s="937"/>
      <c r="C48" s="937"/>
      <c r="D48" s="937"/>
      <c r="E48" s="937"/>
      <c r="F48" s="937"/>
    </row>
    <row r="49" spans="3:6" ht="15.75">
      <c r="C49" s="287"/>
      <c r="D49" s="761" t="s">
        <v>908</v>
      </c>
      <c r="E49" s="761"/>
      <c r="F49" s="761"/>
    </row>
    <row r="50" spans="3:6" ht="15.75">
      <c r="D50" s="761" t="s">
        <v>646</v>
      </c>
      <c r="E50" s="761"/>
      <c r="F50" s="761"/>
    </row>
  </sheetData>
  <mergeCells count="11">
    <mergeCell ref="D49:F49"/>
    <mergeCell ref="D50:F50"/>
    <mergeCell ref="A48:F48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42" right="0.41" top="0.5" bottom="0" header="0.31496062992125984" footer="0.31496062992125984"/>
  <pageSetup paperSize="9" scale="82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topLeftCell="A23" zoomScaleNormal="70" zoomScaleSheetLayoutView="100" workbookViewId="0">
      <selection activeCell="A23" sqref="A23"/>
    </sheetView>
  </sheetViews>
  <sheetFormatPr defaultRowHeight="12.75"/>
  <cols>
    <col min="1" max="1" width="9.140625" style="173"/>
    <col min="2" max="2" width="17.85546875" style="173" customWidth="1"/>
    <col min="3" max="3" width="16.42578125" style="173" customWidth="1"/>
    <col min="4" max="4" width="10.85546875" style="173" customWidth="1"/>
    <col min="5" max="5" width="13.7109375" style="173" customWidth="1"/>
    <col min="6" max="6" width="14.28515625" style="173" customWidth="1"/>
    <col min="7" max="7" width="11.42578125" style="173" customWidth="1"/>
    <col min="8" max="8" width="12.28515625" style="173" customWidth="1"/>
    <col min="9" max="9" width="16.28515625" style="173" customWidth="1"/>
    <col min="10" max="10" width="19.28515625" style="173" customWidth="1"/>
    <col min="11" max="16384" width="9.140625" style="173"/>
  </cols>
  <sheetData>
    <row r="1" spans="1:13" ht="15">
      <c r="A1" s="198"/>
      <c r="B1" s="198"/>
      <c r="C1" s="198"/>
      <c r="D1" s="862"/>
      <c r="E1" s="862"/>
      <c r="F1" s="180"/>
      <c r="G1" s="862" t="s">
        <v>439</v>
      </c>
      <c r="H1" s="862"/>
      <c r="I1" s="862"/>
      <c r="J1" s="862"/>
      <c r="K1" s="45"/>
      <c r="L1" s="198"/>
      <c r="M1" s="198"/>
    </row>
    <row r="2" spans="1:13" ht="15.75">
      <c r="A2" s="762" t="s">
        <v>0</v>
      </c>
      <c r="B2" s="762"/>
      <c r="C2" s="762"/>
      <c r="D2" s="762"/>
      <c r="E2" s="762"/>
      <c r="F2" s="762"/>
      <c r="G2" s="762"/>
      <c r="H2" s="762"/>
      <c r="I2" s="762"/>
      <c r="J2" s="762"/>
      <c r="K2" s="198"/>
      <c r="L2" s="198"/>
      <c r="M2" s="198"/>
    </row>
    <row r="3" spans="1:13" ht="18">
      <c r="A3" s="185"/>
      <c r="B3" s="185"/>
      <c r="C3" s="948" t="s">
        <v>737</v>
      </c>
      <c r="D3" s="948"/>
      <c r="E3" s="948"/>
      <c r="F3" s="948"/>
      <c r="G3" s="948"/>
      <c r="H3" s="948"/>
      <c r="I3" s="948"/>
      <c r="J3" s="185"/>
      <c r="K3" s="198"/>
      <c r="L3" s="198"/>
      <c r="M3" s="198"/>
    </row>
    <row r="4" spans="1:13" ht="15.75">
      <c r="A4" s="778" t="s">
        <v>438</v>
      </c>
      <c r="B4" s="778"/>
      <c r="C4" s="778"/>
      <c r="D4" s="778"/>
      <c r="E4" s="778"/>
      <c r="F4" s="778"/>
      <c r="G4" s="778"/>
      <c r="H4" s="778"/>
      <c r="I4" s="778"/>
      <c r="J4" s="778"/>
      <c r="K4" s="198"/>
      <c r="L4" s="198"/>
      <c r="M4" s="198"/>
    </row>
    <row r="5" spans="1:13" ht="15.75">
      <c r="A5" s="699" t="s">
        <v>665</v>
      </c>
      <c r="B5" s="699"/>
      <c r="C5" s="164"/>
      <c r="D5" s="164"/>
      <c r="E5" s="164"/>
      <c r="F5" s="164"/>
      <c r="G5" s="164"/>
      <c r="H5" s="164"/>
      <c r="I5" s="164"/>
      <c r="J5" s="164"/>
      <c r="K5" s="198"/>
      <c r="L5" s="198"/>
      <c r="M5" s="198"/>
    </row>
    <row r="6" spans="1:1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8">
      <c r="A7" s="41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21.75" customHeight="1">
      <c r="A8" s="943" t="s">
        <v>2</v>
      </c>
      <c r="B8" s="943" t="s">
        <v>3</v>
      </c>
      <c r="C8" s="945" t="s">
        <v>136</v>
      </c>
      <c r="D8" s="946"/>
      <c r="E8" s="946"/>
      <c r="F8" s="946"/>
      <c r="G8" s="946"/>
      <c r="H8" s="946"/>
      <c r="I8" s="946"/>
      <c r="J8" s="947"/>
      <c r="K8" s="198"/>
      <c r="L8" s="198"/>
      <c r="M8" s="198"/>
    </row>
    <row r="9" spans="1:13" ht="39.75" customHeight="1">
      <c r="A9" s="944"/>
      <c r="B9" s="944"/>
      <c r="C9" s="184" t="s">
        <v>193</v>
      </c>
      <c r="D9" s="184" t="s">
        <v>116</v>
      </c>
      <c r="E9" s="184" t="s">
        <v>375</v>
      </c>
      <c r="F9" s="64" t="s">
        <v>162</v>
      </c>
      <c r="G9" s="64" t="s">
        <v>117</v>
      </c>
      <c r="H9" s="74" t="s">
        <v>192</v>
      </c>
      <c r="I9" s="74" t="s">
        <v>715</v>
      </c>
      <c r="J9" s="42" t="s">
        <v>16</v>
      </c>
      <c r="K9" s="44"/>
      <c r="L9" s="44"/>
      <c r="M9" s="44"/>
    </row>
    <row r="10" spans="1:13" s="5" customFormat="1">
      <c r="A10" s="184">
        <v>1</v>
      </c>
      <c r="B10" s="184">
        <v>2</v>
      </c>
      <c r="C10" s="184">
        <v>3</v>
      </c>
      <c r="D10" s="184">
        <v>4</v>
      </c>
      <c r="E10" s="184">
        <v>5</v>
      </c>
      <c r="F10" s="184">
        <v>6</v>
      </c>
      <c r="G10" s="184">
        <v>7</v>
      </c>
      <c r="H10" s="186">
        <v>8</v>
      </c>
      <c r="I10" s="186">
        <v>9</v>
      </c>
      <c r="J10" s="42">
        <v>10</v>
      </c>
      <c r="K10" s="44"/>
      <c r="L10" s="44"/>
      <c r="M10" s="44"/>
    </row>
    <row r="11" spans="1:13" s="5" customFormat="1">
      <c r="A11" s="204">
        <v>1</v>
      </c>
      <c r="B11" s="204" t="s">
        <v>624</v>
      </c>
      <c r="C11" s="320">
        <v>0</v>
      </c>
      <c r="D11" s="320">
        <v>1156</v>
      </c>
      <c r="E11" s="320">
        <v>0</v>
      </c>
      <c r="F11" s="320">
        <v>0</v>
      </c>
      <c r="G11" s="320">
        <v>0</v>
      </c>
      <c r="H11" s="321">
        <v>0</v>
      </c>
      <c r="I11" s="321">
        <v>0</v>
      </c>
      <c r="J11" s="322">
        <f>SUM(C11:I11)</f>
        <v>1156</v>
      </c>
      <c r="K11" s="44"/>
      <c r="L11" s="44"/>
      <c r="M11" s="44"/>
    </row>
    <row r="12" spans="1:13" s="5" customFormat="1">
      <c r="A12" s="204">
        <f>A11+1</f>
        <v>2</v>
      </c>
      <c r="B12" s="204" t="s">
        <v>589</v>
      </c>
      <c r="C12" s="320">
        <v>0</v>
      </c>
      <c r="D12" s="320">
        <v>1315</v>
      </c>
      <c r="E12" s="320">
        <v>0</v>
      </c>
      <c r="F12" s="320">
        <v>0</v>
      </c>
      <c r="G12" s="320">
        <v>0</v>
      </c>
      <c r="H12" s="320">
        <v>0</v>
      </c>
      <c r="I12" s="320">
        <v>0</v>
      </c>
      <c r="J12" s="322">
        <f t="shared" ref="J12:J43" si="0">SUM(C12:I12)</f>
        <v>1315</v>
      </c>
      <c r="K12" s="44"/>
      <c r="L12" s="44"/>
      <c r="M12" s="44"/>
    </row>
    <row r="13" spans="1:13" s="5" customFormat="1">
      <c r="A13" s="204">
        <f t="shared" ref="A13:A43" si="1">A12+1</f>
        <v>3</v>
      </c>
      <c r="B13" s="204" t="s">
        <v>625</v>
      </c>
      <c r="C13" s="320">
        <v>0</v>
      </c>
      <c r="D13" s="320">
        <v>0</v>
      </c>
      <c r="E13" s="320">
        <v>0</v>
      </c>
      <c r="F13" s="320">
        <v>0</v>
      </c>
      <c r="G13" s="320">
        <v>0</v>
      </c>
      <c r="H13" s="321">
        <v>866</v>
      </c>
      <c r="I13" s="321">
        <v>0</v>
      </c>
      <c r="J13" s="322">
        <f t="shared" si="0"/>
        <v>866</v>
      </c>
      <c r="K13" s="44"/>
      <c r="L13" s="44"/>
      <c r="M13" s="44"/>
    </row>
    <row r="14" spans="1:13" s="5" customFormat="1">
      <c r="A14" s="204">
        <f t="shared" si="1"/>
        <v>4</v>
      </c>
      <c r="B14" s="204" t="s">
        <v>590</v>
      </c>
      <c r="C14" s="320">
        <v>0</v>
      </c>
      <c r="D14" s="320">
        <v>772</v>
      </c>
      <c r="E14" s="320">
        <v>0</v>
      </c>
      <c r="F14" s="320">
        <v>0</v>
      </c>
      <c r="G14" s="320">
        <v>0</v>
      </c>
      <c r="H14" s="321">
        <v>0</v>
      </c>
      <c r="I14" s="321">
        <v>0</v>
      </c>
      <c r="J14" s="322">
        <f t="shared" si="0"/>
        <v>772</v>
      </c>
      <c r="K14" s="44"/>
      <c r="L14" s="44"/>
      <c r="M14" s="44"/>
    </row>
    <row r="15" spans="1:13" s="5" customFormat="1">
      <c r="A15" s="204">
        <f t="shared" si="1"/>
        <v>5</v>
      </c>
      <c r="B15" s="204" t="s">
        <v>591</v>
      </c>
      <c r="C15" s="320">
        <v>0</v>
      </c>
      <c r="D15" s="320">
        <f>366+87+58</f>
        <v>511</v>
      </c>
      <c r="E15" s="320">
        <v>0</v>
      </c>
      <c r="F15" s="320">
        <v>0</v>
      </c>
      <c r="G15" s="320">
        <v>0</v>
      </c>
      <c r="H15" s="321">
        <v>0</v>
      </c>
      <c r="I15" s="321">
        <v>0</v>
      </c>
      <c r="J15" s="322">
        <f t="shared" si="0"/>
        <v>511</v>
      </c>
      <c r="K15" s="44"/>
      <c r="L15" s="44"/>
      <c r="M15" s="44"/>
    </row>
    <row r="16" spans="1:13" s="5" customFormat="1">
      <c r="A16" s="204">
        <f t="shared" si="1"/>
        <v>6</v>
      </c>
      <c r="B16" s="204" t="s">
        <v>592</v>
      </c>
      <c r="C16" s="320">
        <v>0</v>
      </c>
      <c r="D16" s="320">
        <v>417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2">
        <f t="shared" si="0"/>
        <v>417</v>
      </c>
      <c r="K16" s="44"/>
      <c r="L16" s="44"/>
      <c r="M16" s="44"/>
    </row>
    <row r="17" spans="1:13" s="5" customFormat="1">
      <c r="A17" s="204">
        <f t="shared" si="1"/>
        <v>7</v>
      </c>
      <c r="B17" s="204" t="s">
        <v>593</v>
      </c>
      <c r="C17" s="320">
        <v>0</v>
      </c>
      <c r="D17" s="320">
        <v>462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2">
        <f t="shared" si="0"/>
        <v>462</v>
      </c>
      <c r="K17" s="44"/>
      <c r="L17" s="44"/>
      <c r="M17" s="44"/>
    </row>
    <row r="18" spans="1:13" s="5" customFormat="1">
      <c r="A18" s="204">
        <f t="shared" si="1"/>
        <v>8</v>
      </c>
      <c r="B18" s="204" t="s">
        <v>594</v>
      </c>
      <c r="C18" s="320">
        <v>0</v>
      </c>
      <c r="D18" s="320">
        <v>1008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2">
        <f t="shared" si="0"/>
        <v>1008</v>
      </c>
      <c r="K18" s="44"/>
      <c r="L18" s="44"/>
      <c r="M18" s="44"/>
    </row>
    <row r="19" spans="1:13" s="5" customFormat="1">
      <c r="A19" s="204">
        <f t="shared" si="1"/>
        <v>9</v>
      </c>
      <c r="B19" s="204" t="s">
        <v>595</v>
      </c>
      <c r="C19" s="320">
        <v>0</v>
      </c>
      <c r="D19" s="320">
        <v>641</v>
      </c>
      <c r="E19" s="320">
        <v>0</v>
      </c>
      <c r="F19" s="320">
        <v>0</v>
      </c>
      <c r="G19" s="320">
        <v>0</v>
      </c>
      <c r="H19" s="321">
        <v>0</v>
      </c>
      <c r="I19" s="321">
        <v>0</v>
      </c>
      <c r="J19" s="322">
        <f t="shared" si="0"/>
        <v>641</v>
      </c>
      <c r="K19" s="44"/>
      <c r="L19" s="44"/>
      <c r="M19" s="44"/>
    </row>
    <row r="20" spans="1:13" s="5" customFormat="1">
      <c r="A20" s="204">
        <f t="shared" si="1"/>
        <v>10</v>
      </c>
      <c r="B20" s="204" t="s">
        <v>596</v>
      </c>
      <c r="C20" s="320">
        <v>0</v>
      </c>
      <c r="D20" s="320">
        <v>1241</v>
      </c>
      <c r="E20" s="320">
        <v>0</v>
      </c>
      <c r="F20" s="320">
        <v>0</v>
      </c>
      <c r="G20" s="320">
        <v>0</v>
      </c>
      <c r="H20" s="321">
        <v>0</v>
      </c>
      <c r="I20" s="321">
        <v>0</v>
      </c>
      <c r="J20" s="322">
        <f t="shared" si="0"/>
        <v>1241</v>
      </c>
      <c r="K20" s="44"/>
      <c r="L20" s="44"/>
      <c r="M20" s="44"/>
    </row>
    <row r="21" spans="1:13" s="5" customFormat="1">
      <c r="A21" s="204">
        <f t="shared" si="1"/>
        <v>11</v>
      </c>
      <c r="B21" s="204" t="s">
        <v>626</v>
      </c>
      <c r="C21" s="320">
        <v>0</v>
      </c>
      <c r="D21" s="320">
        <v>1009</v>
      </c>
      <c r="E21" s="320">
        <v>0</v>
      </c>
      <c r="F21" s="320">
        <v>0</v>
      </c>
      <c r="G21" s="320">
        <v>0</v>
      </c>
      <c r="H21" s="321">
        <v>0</v>
      </c>
      <c r="I21" s="321">
        <v>0</v>
      </c>
      <c r="J21" s="322">
        <f t="shared" si="0"/>
        <v>1009</v>
      </c>
      <c r="K21" s="44"/>
      <c r="L21" s="44"/>
      <c r="M21" s="44"/>
    </row>
    <row r="22" spans="1:13" s="5" customFormat="1">
      <c r="A22" s="204">
        <f t="shared" si="1"/>
        <v>12</v>
      </c>
      <c r="B22" s="204" t="s">
        <v>597</v>
      </c>
      <c r="C22" s="320">
        <v>0</v>
      </c>
      <c r="D22" s="320">
        <v>902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2">
        <f t="shared" si="0"/>
        <v>902</v>
      </c>
      <c r="K22" s="44"/>
      <c r="L22" s="44"/>
      <c r="M22" s="44"/>
    </row>
    <row r="23" spans="1:13" s="5" customFormat="1">
      <c r="A23" s="204">
        <f t="shared" si="1"/>
        <v>13</v>
      </c>
      <c r="B23" s="204" t="s">
        <v>598</v>
      </c>
      <c r="C23" s="320">
        <v>0</v>
      </c>
      <c r="D23" s="320">
        <v>397</v>
      </c>
      <c r="E23" s="320">
        <v>0</v>
      </c>
      <c r="F23" s="320">
        <v>0</v>
      </c>
      <c r="G23" s="320">
        <v>460</v>
      </c>
      <c r="H23" s="320">
        <v>0</v>
      </c>
      <c r="I23" s="320">
        <v>0</v>
      </c>
      <c r="J23" s="322">
        <f t="shared" si="0"/>
        <v>857</v>
      </c>
      <c r="K23" s="44"/>
      <c r="L23" s="44"/>
      <c r="M23" s="44"/>
    </row>
    <row r="24" spans="1:13" s="5" customFormat="1">
      <c r="A24" s="204">
        <f t="shared" si="1"/>
        <v>14</v>
      </c>
      <c r="B24" s="204" t="s">
        <v>627</v>
      </c>
      <c r="C24" s="320">
        <v>0</v>
      </c>
      <c r="D24" s="320">
        <v>769</v>
      </c>
      <c r="E24" s="320">
        <v>0</v>
      </c>
      <c r="F24" s="320">
        <v>0</v>
      </c>
      <c r="G24" s="320">
        <v>0</v>
      </c>
      <c r="H24" s="321">
        <v>0</v>
      </c>
      <c r="I24" s="321">
        <v>0</v>
      </c>
      <c r="J24" s="322">
        <f t="shared" si="0"/>
        <v>769</v>
      </c>
      <c r="K24" s="44"/>
      <c r="L24" s="44"/>
      <c r="M24" s="44"/>
    </row>
    <row r="25" spans="1:13" s="5" customFormat="1">
      <c r="A25" s="204">
        <f t="shared" si="1"/>
        <v>15</v>
      </c>
      <c r="B25" s="204" t="s">
        <v>599</v>
      </c>
      <c r="C25" s="320">
        <v>0</v>
      </c>
      <c r="D25" s="320">
        <v>891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2">
        <f t="shared" si="0"/>
        <v>891</v>
      </c>
      <c r="K25" s="44"/>
      <c r="L25" s="44"/>
      <c r="M25" s="44"/>
    </row>
    <row r="26" spans="1:13" s="5" customFormat="1">
      <c r="A26" s="204">
        <f t="shared" si="1"/>
        <v>16</v>
      </c>
      <c r="B26" s="204" t="s">
        <v>600</v>
      </c>
      <c r="C26" s="320">
        <v>0</v>
      </c>
      <c r="D26" s="320">
        <v>496</v>
      </c>
      <c r="E26" s="320">
        <v>0</v>
      </c>
      <c r="F26" s="320">
        <v>0</v>
      </c>
      <c r="G26" s="320">
        <v>0</v>
      </c>
      <c r="H26" s="321">
        <v>18</v>
      </c>
      <c r="I26" s="321">
        <v>0</v>
      </c>
      <c r="J26" s="322">
        <f t="shared" si="0"/>
        <v>514</v>
      </c>
      <c r="K26" s="44"/>
      <c r="L26" s="44"/>
      <c r="M26" s="44"/>
    </row>
    <row r="27" spans="1:13" s="5" customFormat="1">
      <c r="A27" s="204">
        <f t="shared" si="1"/>
        <v>17</v>
      </c>
      <c r="B27" s="529" t="s">
        <v>684</v>
      </c>
      <c r="C27" s="320">
        <v>0</v>
      </c>
      <c r="D27" s="320">
        <v>409</v>
      </c>
      <c r="E27" s="320">
        <v>0</v>
      </c>
      <c r="F27" s="320">
        <v>0</v>
      </c>
      <c r="G27" s="320">
        <v>0</v>
      </c>
      <c r="H27" s="321">
        <v>0</v>
      </c>
      <c r="I27" s="321">
        <v>0</v>
      </c>
      <c r="J27" s="322">
        <f t="shared" si="0"/>
        <v>409</v>
      </c>
      <c r="K27" s="44"/>
      <c r="L27" s="44"/>
      <c r="M27" s="44"/>
    </row>
    <row r="28" spans="1:13">
      <c r="A28" s="204">
        <f t="shared" si="1"/>
        <v>18</v>
      </c>
      <c r="B28" s="204" t="s">
        <v>601</v>
      </c>
      <c r="C28" s="323">
        <v>0</v>
      </c>
      <c r="D28" s="320">
        <v>832</v>
      </c>
      <c r="E28" s="323">
        <v>0</v>
      </c>
      <c r="F28" s="323">
        <v>0</v>
      </c>
      <c r="G28" s="323">
        <v>0</v>
      </c>
      <c r="H28" s="324">
        <v>0</v>
      </c>
      <c r="I28" s="324">
        <v>0</v>
      </c>
      <c r="J28" s="322">
        <f t="shared" si="0"/>
        <v>832</v>
      </c>
      <c r="K28" s="198"/>
      <c r="L28" s="44"/>
      <c r="M28" s="44"/>
    </row>
    <row r="29" spans="1:13">
      <c r="A29" s="204">
        <f t="shared" si="1"/>
        <v>19</v>
      </c>
      <c r="B29" s="204" t="s">
        <v>602</v>
      </c>
      <c r="C29" s="323">
        <v>0</v>
      </c>
      <c r="D29" s="320">
        <f>1407+23</f>
        <v>1430</v>
      </c>
      <c r="E29" s="323">
        <v>0</v>
      </c>
      <c r="F29" s="323">
        <v>0</v>
      </c>
      <c r="G29" s="323">
        <v>0</v>
      </c>
      <c r="H29" s="324">
        <v>0</v>
      </c>
      <c r="I29" s="324">
        <v>0</v>
      </c>
      <c r="J29" s="322">
        <f t="shared" si="0"/>
        <v>1430</v>
      </c>
      <c r="K29" s="198"/>
      <c r="L29" s="44"/>
      <c r="M29" s="44"/>
    </row>
    <row r="30" spans="1:13" s="527" customFormat="1">
      <c r="A30" s="204">
        <f t="shared" si="1"/>
        <v>20</v>
      </c>
      <c r="B30" s="529" t="s">
        <v>683</v>
      </c>
      <c r="C30" s="323">
        <v>0</v>
      </c>
      <c r="D30" s="320">
        <v>492</v>
      </c>
      <c r="E30" s="323">
        <v>0</v>
      </c>
      <c r="F30" s="323">
        <v>0</v>
      </c>
      <c r="G30" s="323">
        <v>0</v>
      </c>
      <c r="H30" s="324">
        <v>0</v>
      </c>
      <c r="I30" s="324">
        <v>0</v>
      </c>
      <c r="J30" s="322">
        <f t="shared" si="0"/>
        <v>492</v>
      </c>
      <c r="K30" s="530"/>
      <c r="L30" s="44"/>
      <c r="M30" s="44"/>
    </row>
    <row r="31" spans="1:13">
      <c r="A31" s="204">
        <f t="shared" si="1"/>
        <v>21</v>
      </c>
      <c r="B31" s="529" t="s">
        <v>628</v>
      </c>
      <c r="C31" s="323">
        <v>0</v>
      </c>
      <c r="D31" s="320">
        <v>767</v>
      </c>
      <c r="E31" s="323">
        <v>0</v>
      </c>
      <c r="F31" s="323">
        <v>0</v>
      </c>
      <c r="G31" s="323">
        <v>0</v>
      </c>
      <c r="H31" s="324">
        <v>0</v>
      </c>
      <c r="I31" s="324">
        <v>0</v>
      </c>
      <c r="J31" s="322">
        <f t="shared" si="0"/>
        <v>767</v>
      </c>
      <c r="K31" s="198"/>
      <c r="L31" s="44"/>
      <c r="M31" s="44"/>
    </row>
    <row r="32" spans="1:13">
      <c r="A32" s="204">
        <f t="shared" si="1"/>
        <v>22</v>
      </c>
      <c r="B32" s="204" t="s">
        <v>603</v>
      </c>
      <c r="C32" s="323">
        <v>0</v>
      </c>
      <c r="D32" s="320">
        <v>1208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2">
        <f t="shared" si="0"/>
        <v>1208</v>
      </c>
      <c r="K32" s="198"/>
      <c r="L32" s="44"/>
      <c r="M32" s="44"/>
    </row>
    <row r="33" spans="1:13">
      <c r="A33" s="204">
        <f t="shared" si="1"/>
        <v>23</v>
      </c>
      <c r="B33" s="204" t="s">
        <v>604</v>
      </c>
      <c r="C33" s="323">
        <v>0</v>
      </c>
      <c r="D33" s="320">
        <v>529</v>
      </c>
      <c r="E33" s="323">
        <v>0</v>
      </c>
      <c r="F33" s="323">
        <v>0</v>
      </c>
      <c r="G33" s="323">
        <v>0</v>
      </c>
      <c r="H33" s="324">
        <v>0</v>
      </c>
      <c r="I33" s="324">
        <v>0</v>
      </c>
      <c r="J33" s="322">
        <f t="shared" si="0"/>
        <v>529</v>
      </c>
      <c r="K33" s="198"/>
      <c r="L33" s="44"/>
      <c r="M33" s="44"/>
    </row>
    <row r="34" spans="1:13">
      <c r="A34" s="204">
        <f t="shared" si="1"/>
        <v>24</v>
      </c>
      <c r="B34" s="204" t="s">
        <v>605</v>
      </c>
      <c r="C34" s="323">
        <v>0</v>
      </c>
      <c r="D34" s="320">
        <v>480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2">
        <f t="shared" si="0"/>
        <v>480</v>
      </c>
      <c r="K34" s="198"/>
      <c r="L34" s="44"/>
      <c r="M34" s="44"/>
    </row>
    <row r="35" spans="1:13">
      <c r="A35" s="204">
        <f t="shared" si="1"/>
        <v>25</v>
      </c>
      <c r="B35" s="204" t="s">
        <v>606</v>
      </c>
      <c r="C35" s="323">
        <v>0</v>
      </c>
      <c r="D35" s="320">
        <v>1268</v>
      </c>
      <c r="E35" s="323">
        <v>0</v>
      </c>
      <c r="F35" s="323">
        <v>0</v>
      </c>
      <c r="G35" s="323">
        <v>0</v>
      </c>
      <c r="H35" s="324">
        <v>52</v>
      </c>
      <c r="I35" s="324">
        <v>0</v>
      </c>
      <c r="J35" s="322">
        <f t="shared" si="0"/>
        <v>1320</v>
      </c>
      <c r="K35" s="198"/>
      <c r="L35" s="44"/>
      <c r="M35" s="44"/>
    </row>
    <row r="36" spans="1:13">
      <c r="A36" s="204">
        <f t="shared" si="1"/>
        <v>26</v>
      </c>
      <c r="B36" s="204" t="s">
        <v>607</v>
      </c>
      <c r="C36" s="323">
        <v>0</v>
      </c>
      <c r="D36" s="320">
        <v>734</v>
      </c>
      <c r="E36" s="323">
        <v>0</v>
      </c>
      <c r="F36" s="323">
        <v>0</v>
      </c>
      <c r="G36" s="323">
        <v>538</v>
      </c>
      <c r="H36" s="324">
        <v>0</v>
      </c>
      <c r="I36" s="324">
        <v>0</v>
      </c>
      <c r="J36" s="322">
        <f t="shared" si="0"/>
        <v>1272</v>
      </c>
      <c r="K36" s="198"/>
      <c r="L36" s="44"/>
      <c r="M36" s="44"/>
    </row>
    <row r="37" spans="1:13">
      <c r="A37" s="204">
        <f t="shared" si="1"/>
        <v>27</v>
      </c>
      <c r="B37" s="204" t="s">
        <v>608</v>
      </c>
      <c r="C37" s="323">
        <v>0</v>
      </c>
      <c r="D37" s="320">
        <v>963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2">
        <f t="shared" si="0"/>
        <v>963</v>
      </c>
      <c r="K37" s="198"/>
      <c r="L37" s="44"/>
      <c r="M37" s="44"/>
    </row>
    <row r="38" spans="1:13">
      <c r="A38" s="204">
        <f t="shared" si="1"/>
        <v>28</v>
      </c>
      <c r="B38" s="204" t="s">
        <v>609</v>
      </c>
      <c r="C38" s="323">
        <v>0</v>
      </c>
      <c r="D38" s="320">
        <f>951</f>
        <v>951</v>
      </c>
      <c r="E38" s="323">
        <v>0</v>
      </c>
      <c r="F38" s="323">
        <v>0</v>
      </c>
      <c r="G38" s="323">
        <v>0</v>
      </c>
      <c r="H38" s="324">
        <v>0</v>
      </c>
      <c r="I38" s="324">
        <v>0</v>
      </c>
      <c r="J38" s="322">
        <f t="shared" si="0"/>
        <v>951</v>
      </c>
      <c r="K38" s="198"/>
      <c r="L38" s="44"/>
      <c r="M38" s="44"/>
    </row>
    <row r="39" spans="1:13">
      <c r="A39" s="204">
        <f t="shared" si="1"/>
        <v>29</v>
      </c>
      <c r="B39" s="204" t="s">
        <v>610</v>
      </c>
      <c r="C39" s="323">
        <v>0</v>
      </c>
      <c r="D39" s="320">
        <v>1033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2">
        <f t="shared" si="0"/>
        <v>1033</v>
      </c>
      <c r="K39" s="198"/>
      <c r="L39" s="44"/>
      <c r="M39" s="44"/>
    </row>
    <row r="40" spans="1:13">
      <c r="A40" s="204">
        <f t="shared" si="1"/>
        <v>30</v>
      </c>
      <c r="B40" s="502" t="s">
        <v>611</v>
      </c>
      <c r="C40" s="323">
        <v>0</v>
      </c>
      <c r="D40" s="320">
        <v>509</v>
      </c>
      <c r="E40" s="323">
        <v>0</v>
      </c>
      <c r="F40" s="323">
        <v>0</v>
      </c>
      <c r="G40" s="323">
        <v>0</v>
      </c>
      <c r="H40" s="324">
        <v>0</v>
      </c>
      <c r="I40" s="324">
        <v>0</v>
      </c>
      <c r="J40" s="322">
        <f t="shared" si="0"/>
        <v>509</v>
      </c>
      <c r="K40" s="198"/>
      <c r="L40" s="44"/>
      <c r="M40" s="44"/>
    </row>
    <row r="41" spans="1:13">
      <c r="A41" s="204">
        <f t="shared" si="1"/>
        <v>31</v>
      </c>
      <c r="B41" s="502" t="s">
        <v>612</v>
      </c>
      <c r="C41" s="323">
        <v>0</v>
      </c>
      <c r="D41" s="320">
        <v>607</v>
      </c>
      <c r="E41" s="323">
        <v>0</v>
      </c>
      <c r="F41" s="323">
        <v>0</v>
      </c>
      <c r="G41" s="323">
        <v>0</v>
      </c>
      <c r="H41" s="323">
        <v>0</v>
      </c>
      <c r="I41" s="323">
        <v>0</v>
      </c>
      <c r="J41" s="322">
        <f t="shared" si="0"/>
        <v>607</v>
      </c>
      <c r="K41" s="198"/>
      <c r="L41" s="44"/>
      <c r="M41" s="44"/>
    </row>
    <row r="42" spans="1:13">
      <c r="A42" s="204">
        <f t="shared" si="1"/>
        <v>32</v>
      </c>
      <c r="B42" s="502" t="s">
        <v>613</v>
      </c>
      <c r="C42" s="323">
        <v>0</v>
      </c>
      <c r="D42" s="320">
        <v>524</v>
      </c>
      <c r="E42" s="323">
        <v>0</v>
      </c>
      <c r="F42" s="323">
        <v>0</v>
      </c>
      <c r="G42" s="323">
        <v>0</v>
      </c>
      <c r="H42" s="323">
        <v>0</v>
      </c>
      <c r="I42" s="323">
        <v>0</v>
      </c>
      <c r="J42" s="322">
        <f t="shared" si="0"/>
        <v>524</v>
      </c>
      <c r="K42" s="198"/>
      <c r="L42" s="44"/>
      <c r="M42" s="44"/>
    </row>
    <row r="43" spans="1:13">
      <c r="A43" s="204">
        <f t="shared" si="1"/>
        <v>33</v>
      </c>
      <c r="B43" s="502" t="s">
        <v>614</v>
      </c>
      <c r="C43" s="323">
        <v>0</v>
      </c>
      <c r="D43" s="320">
        <v>672</v>
      </c>
      <c r="E43" s="323">
        <v>0</v>
      </c>
      <c r="F43" s="323">
        <v>0</v>
      </c>
      <c r="G43" s="323">
        <v>0</v>
      </c>
      <c r="H43" s="323">
        <v>0</v>
      </c>
      <c r="I43" s="323">
        <v>0</v>
      </c>
      <c r="J43" s="322">
        <f t="shared" si="0"/>
        <v>672</v>
      </c>
      <c r="K43" s="198"/>
      <c r="L43" s="44"/>
      <c r="M43" s="44"/>
    </row>
    <row r="44" spans="1:13">
      <c r="A44" s="151"/>
      <c r="B44" s="151" t="s">
        <v>615</v>
      </c>
      <c r="C44" s="295">
        <f>SUM(C11:C43)</f>
        <v>0</v>
      </c>
      <c r="D44" s="295">
        <f t="shared" ref="D44:J44" si="2">SUM(D11:D43)</f>
        <v>25395</v>
      </c>
      <c r="E44" s="295">
        <f t="shared" si="2"/>
        <v>0</v>
      </c>
      <c r="F44" s="295">
        <f t="shared" si="2"/>
        <v>0</v>
      </c>
      <c r="G44" s="295">
        <f t="shared" si="2"/>
        <v>998</v>
      </c>
      <c r="H44" s="295">
        <f t="shared" si="2"/>
        <v>936</v>
      </c>
      <c r="I44" s="295">
        <f t="shared" si="2"/>
        <v>0</v>
      </c>
      <c r="J44" s="295">
        <f t="shared" si="2"/>
        <v>27329</v>
      </c>
      <c r="K44" s="198"/>
      <c r="L44" s="44"/>
      <c r="M44" s="44"/>
    </row>
    <row r="45" spans="1:13">
      <c r="A45" s="215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1:13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1:13">
      <c r="A47" s="198" t="s">
        <v>118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8" spans="1:13">
      <c r="A48" s="198" t="s">
        <v>194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</row>
    <row r="49" spans="1:13">
      <c r="A49" s="173" t="s">
        <v>119</v>
      </c>
    </row>
    <row r="50" spans="1:13">
      <c r="A50" s="942" t="s">
        <v>120</v>
      </c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</row>
    <row r="51" spans="1:13">
      <c r="A51" s="949" t="s">
        <v>121</v>
      </c>
      <c r="B51" s="949"/>
      <c r="C51" s="949"/>
      <c r="D51" s="949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>
      <c r="A52" s="216" t="s">
        <v>163</v>
      </c>
      <c r="B52" s="216"/>
      <c r="C52" s="216"/>
      <c r="D52" s="216"/>
      <c r="E52" s="198"/>
      <c r="F52" s="198"/>
      <c r="G52" s="198"/>
      <c r="H52" s="198"/>
      <c r="I52" s="198"/>
      <c r="J52" s="198"/>
      <c r="K52" s="198"/>
      <c r="L52" s="198"/>
      <c r="M52" s="198"/>
    </row>
    <row r="55" spans="1:13" ht="15.75">
      <c r="G55" s="761" t="s">
        <v>908</v>
      </c>
      <c r="H55" s="761"/>
      <c r="I55" s="761"/>
      <c r="J55" s="761"/>
    </row>
    <row r="56" spans="1:13" ht="15.75">
      <c r="G56" s="761" t="s">
        <v>646</v>
      </c>
      <c r="H56" s="761"/>
      <c r="I56" s="761"/>
      <c r="J56" s="761"/>
    </row>
  </sheetData>
  <mergeCells count="15">
    <mergeCell ref="G55:J55"/>
    <mergeCell ref="G56:J56"/>
    <mergeCell ref="D1:E1"/>
    <mergeCell ref="G1:J1"/>
    <mergeCell ref="A2:J2"/>
    <mergeCell ref="A4:J4"/>
    <mergeCell ref="A5:B5"/>
    <mergeCell ref="A51:D51"/>
    <mergeCell ref="K50:M50"/>
    <mergeCell ref="A8:A9"/>
    <mergeCell ref="B8:B9"/>
    <mergeCell ref="C8:J8"/>
    <mergeCell ref="C3:I3"/>
    <mergeCell ref="A50:D50"/>
    <mergeCell ref="E50:J50"/>
  </mergeCells>
  <phoneticPr fontId="0" type="noConversion"/>
  <printOptions horizontalCentered="1"/>
  <pageMargins left="0.44" right="0.45" top="0.44" bottom="0" header="0.31496062992125984" footer="0.31496062992125984"/>
  <pageSetup paperSize="9" scale="7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topLeftCell="D12" zoomScale="76" zoomScaleNormal="70" zoomScaleSheetLayoutView="76" workbookViewId="0">
      <selection activeCell="L45" activeCellId="2" sqref="D45 H45 L45"/>
    </sheetView>
  </sheetViews>
  <sheetFormatPr defaultRowHeight="12.75"/>
  <cols>
    <col min="1" max="1" width="6.140625" style="173" customWidth="1"/>
    <col min="2" max="2" width="18.28515625" style="173" customWidth="1"/>
    <col min="3" max="11" width="17" style="173" customWidth="1"/>
    <col min="12" max="12" width="18.85546875" style="173" customWidth="1"/>
    <col min="13" max="13" width="18.7109375" style="173" customWidth="1"/>
    <col min="14" max="14" width="12.28515625" style="173" customWidth="1"/>
    <col min="15" max="15" width="12.28515625" style="604" customWidth="1"/>
    <col min="16" max="16" width="12.7109375" style="173" customWidth="1"/>
    <col min="17" max="17" width="16.140625" style="173" customWidth="1"/>
    <col min="18" max="18" width="9.140625" style="173"/>
    <col min="19" max="19" width="10.28515625" style="173" bestFit="1" customWidth="1"/>
    <col min="20" max="16384" width="9.140625" style="173"/>
  </cols>
  <sheetData>
    <row r="1" spans="1:27" ht="1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862" t="s">
        <v>540</v>
      </c>
      <c r="M1" s="862"/>
      <c r="N1" s="45"/>
      <c r="O1" s="45"/>
      <c r="P1" s="198"/>
      <c r="Q1" s="198"/>
    </row>
    <row r="2" spans="1:27" ht="15.75">
      <c r="A2" s="762" t="s">
        <v>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198"/>
      <c r="O2" s="605"/>
      <c r="P2" s="198"/>
      <c r="Q2" s="198"/>
    </row>
    <row r="3" spans="1:27" ht="20.25">
      <c r="A3" s="763" t="s">
        <v>737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198"/>
      <c r="O3" s="605"/>
      <c r="P3" s="198"/>
      <c r="Q3" s="198"/>
    </row>
    <row r="4" spans="1:27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605"/>
      <c r="P4" s="198"/>
      <c r="Q4" s="198"/>
    </row>
    <row r="5" spans="1:27" ht="15.75">
      <c r="A5" s="778" t="s">
        <v>539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198"/>
      <c r="O5" s="605"/>
      <c r="P5" s="198"/>
      <c r="Q5" s="198"/>
    </row>
    <row r="6" spans="1:27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605"/>
      <c r="P6" s="198"/>
      <c r="Q6" s="198"/>
    </row>
    <row r="7" spans="1:27">
      <c r="A7" s="699" t="s">
        <v>658</v>
      </c>
      <c r="B7" s="699"/>
      <c r="C7" s="141"/>
      <c r="D7" s="141"/>
      <c r="E7" s="141"/>
      <c r="F7" s="198"/>
      <c r="G7" s="198"/>
      <c r="H7" s="198"/>
      <c r="I7" s="198"/>
      <c r="J7" s="198"/>
      <c r="K7" s="198"/>
      <c r="L7" s="198"/>
      <c r="M7" s="198"/>
      <c r="N7" s="198"/>
      <c r="O7" s="605"/>
      <c r="P7" s="198"/>
      <c r="Q7" s="198"/>
    </row>
    <row r="8" spans="1:27" ht="18">
      <c r="A8" s="41"/>
      <c r="B8" s="41"/>
      <c r="C8" s="41"/>
      <c r="D8" s="41"/>
      <c r="E8" s="41"/>
      <c r="F8" s="198"/>
      <c r="G8" s="198"/>
      <c r="H8" s="198"/>
      <c r="I8" s="198"/>
      <c r="J8" s="198"/>
      <c r="K8" s="198"/>
      <c r="L8" s="198"/>
      <c r="M8" s="198"/>
      <c r="N8" s="198"/>
      <c r="O8" s="605"/>
      <c r="P8" s="198"/>
      <c r="Q8" s="198"/>
    </row>
    <row r="9" spans="1:27" ht="19.899999999999999" customHeight="1">
      <c r="A9" s="935" t="s">
        <v>2</v>
      </c>
      <c r="B9" s="935" t="s">
        <v>3</v>
      </c>
      <c r="C9" s="951" t="s">
        <v>116</v>
      </c>
      <c r="D9" s="951"/>
      <c r="E9" s="952"/>
      <c r="F9" s="950" t="s">
        <v>117</v>
      </c>
      <c r="G9" s="951"/>
      <c r="H9" s="951"/>
      <c r="I9" s="952"/>
      <c r="J9" s="950" t="s">
        <v>192</v>
      </c>
      <c r="K9" s="951"/>
      <c r="L9" s="951"/>
      <c r="M9" s="952"/>
      <c r="Z9" s="8"/>
      <c r="AA9" s="10"/>
    </row>
    <row r="10" spans="1:27" ht="45.75" customHeight="1">
      <c r="A10" s="935"/>
      <c r="B10" s="935"/>
      <c r="C10" s="163" t="s">
        <v>377</v>
      </c>
      <c r="D10" s="168" t="s">
        <v>374</v>
      </c>
      <c r="E10" s="163" t="s">
        <v>195</v>
      </c>
      <c r="F10" s="168" t="s">
        <v>372</v>
      </c>
      <c r="G10" s="163" t="s">
        <v>373</v>
      </c>
      <c r="H10" s="168" t="s">
        <v>374</v>
      </c>
      <c r="I10" s="163" t="s">
        <v>195</v>
      </c>
      <c r="J10" s="168" t="s">
        <v>376</v>
      </c>
      <c r="K10" s="163" t="s">
        <v>373</v>
      </c>
      <c r="L10" s="168" t="s">
        <v>374</v>
      </c>
      <c r="M10" s="150" t="s">
        <v>195</v>
      </c>
      <c r="P10" s="612"/>
      <c r="Q10" s="612"/>
      <c r="R10" s="612"/>
      <c r="S10" s="612"/>
    </row>
    <row r="11" spans="1:27" s="5" customFormat="1">
      <c r="A11" s="184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  <c r="M11" s="184">
        <v>13</v>
      </c>
      <c r="O11" s="542"/>
    </row>
    <row r="12" spans="1:27" s="5" customFormat="1">
      <c r="A12" s="204">
        <v>1</v>
      </c>
      <c r="B12" s="204" t="s">
        <v>624</v>
      </c>
      <c r="C12" s="320">
        <v>1156</v>
      </c>
      <c r="D12" s="320">
        <v>1156</v>
      </c>
      <c r="E12" s="320">
        <v>55705</v>
      </c>
      <c r="F12" s="320">
        <v>0</v>
      </c>
      <c r="G12" s="320">
        <v>0</v>
      </c>
      <c r="H12" s="320">
        <v>0</v>
      </c>
      <c r="I12" s="320">
        <v>0</v>
      </c>
      <c r="J12" s="320">
        <v>0</v>
      </c>
      <c r="K12" s="320">
        <v>0</v>
      </c>
      <c r="L12" s="320">
        <v>0</v>
      </c>
      <c r="M12" s="320">
        <v>0</v>
      </c>
      <c r="O12" s="542"/>
      <c r="T12" s="5">
        <f>N12-P12</f>
        <v>0</v>
      </c>
      <c r="U12" s="5">
        <f>O12-S12</f>
        <v>0</v>
      </c>
    </row>
    <row r="13" spans="1:27" s="5" customFormat="1">
      <c r="A13" s="204">
        <f>A12+1</f>
        <v>2</v>
      </c>
      <c r="B13" s="204" t="s">
        <v>589</v>
      </c>
      <c r="C13" s="320">
        <v>1315</v>
      </c>
      <c r="D13" s="320">
        <v>1315</v>
      </c>
      <c r="E13" s="320">
        <v>58581</v>
      </c>
      <c r="F13" s="320">
        <v>0</v>
      </c>
      <c r="G13" s="320">
        <v>0</v>
      </c>
      <c r="H13" s="320">
        <v>0</v>
      </c>
      <c r="I13" s="320">
        <v>0</v>
      </c>
      <c r="J13" s="320">
        <v>0</v>
      </c>
      <c r="K13" s="320">
        <v>0</v>
      </c>
      <c r="L13" s="320">
        <v>0</v>
      </c>
      <c r="M13" s="320">
        <v>0</v>
      </c>
      <c r="N13" s="542"/>
      <c r="O13" s="542"/>
      <c r="S13" s="542"/>
      <c r="T13" s="542">
        <f t="shared" ref="T13:T45" si="0">N13-P13</f>
        <v>0</v>
      </c>
      <c r="U13" s="542">
        <f t="shared" ref="U13:U45" si="1">O13-S13</f>
        <v>0</v>
      </c>
    </row>
    <row r="14" spans="1:27" s="5" customFormat="1">
      <c r="A14" s="204">
        <f t="shared" ref="A14:A44" si="2">A13+1</f>
        <v>3</v>
      </c>
      <c r="B14" s="204" t="s">
        <v>625</v>
      </c>
      <c r="C14" s="320">
        <v>0</v>
      </c>
      <c r="D14" s="320">
        <v>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20" t="s">
        <v>892</v>
      </c>
      <c r="K14" s="320">
        <v>1</v>
      </c>
      <c r="L14" s="320">
        <v>866</v>
      </c>
      <c r="M14" s="320">
        <v>131222</v>
      </c>
      <c r="N14" s="542"/>
      <c r="O14" s="542"/>
      <c r="S14" s="542"/>
      <c r="T14" s="542">
        <f t="shared" si="0"/>
        <v>0</v>
      </c>
      <c r="U14" s="542">
        <f t="shared" si="1"/>
        <v>0</v>
      </c>
    </row>
    <row r="15" spans="1:27" s="5" customFormat="1">
      <c r="A15" s="204">
        <f t="shared" si="2"/>
        <v>4</v>
      </c>
      <c r="B15" s="204" t="s">
        <v>590</v>
      </c>
      <c r="C15" s="320">
        <v>772</v>
      </c>
      <c r="D15" s="320">
        <v>772</v>
      </c>
      <c r="E15" s="320">
        <v>46002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0</v>
      </c>
      <c r="L15" s="320">
        <v>0</v>
      </c>
      <c r="M15" s="320">
        <v>0</v>
      </c>
      <c r="N15" s="542"/>
      <c r="O15" s="542"/>
      <c r="S15" s="542"/>
      <c r="T15" s="542">
        <f t="shared" si="0"/>
        <v>0</v>
      </c>
      <c r="U15" s="542">
        <f t="shared" si="1"/>
        <v>0</v>
      </c>
    </row>
    <row r="16" spans="1:27" s="5" customFormat="1">
      <c r="A16" s="204">
        <f t="shared" si="2"/>
        <v>5</v>
      </c>
      <c r="B16" s="204" t="s">
        <v>591</v>
      </c>
      <c r="C16" s="320">
        <v>511</v>
      </c>
      <c r="D16" s="320">
        <v>511</v>
      </c>
      <c r="E16" s="320">
        <v>28538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0</v>
      </c>
      <c r="N16" s="542"/>
      <c r="O16" s="542"/>
      <c r="S16" s="542"/>
      <c r="T16" s="542">
        <f t="shared" si="0"/>
        <v>0</v>
      </c>
      <c r="U16" s="542">
        <f t="shared" si="1"/>
        <v>0</v>
      </c>
    </row>
    <row r="17" spans="1:21" s="5" customFormat="1">
      <c r="A17" s="204">
        <f t="shared" si="2"/>
        <v>6</v>
      </c>
      <c r="B17" s="204" t="s">
        <v>592</v>
      </c>
      <c r="C17" s="320">
        <v>417</v>
      </c>
      <c r="D17" s="320">
        <v>417</v>
      </c>
      <c r="E17" s="320">
        <v>17936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0</v>
      </c>
      <c r="N17" s="542"/>
      <c r="O17" s="542"/>
      <c r="S17" s="542"/>
      <c r="T17" s="542">
        <f t="shared" si="0"/>
        <v>0</v>
      </c>
      <c r="U17" s="542">
        <f t="shared" si="1"/>
        <v>0</v>
      </c>
    </row>
    <row r="18" spans="1:21" s="5" customFormat="1">
      <c r="A18" s="204">
        <f t="shared" si="2"/>
        <v>7</v>
      </c>
      <c r="B18" s="204" t="s">
        <v>593</v>
      </c>
      <c r="C18" s="320">
        <v>462</v>
      </c>
      <c r="D18" s="320">
        <v>462</v>
      </c>
      <c r="E18" s="320">
        <v>52931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0</v>
      </c>
      <c r="N18" s="542"/>
      <c r="O18" s="542"/>
      <c r="S18" s="542"/>
      <c r="T18" s="542">
        <f t="shared" si="0"/>
        <v>0</v>
      </c>
      <c r="U18" s="542">
        <f t="shared" si="1"/>
        <v>0</v>
      </c>
    </row>
    <row r="19" spans="1:21" s="5" customFormat="1">
      <c r="A19" s="204">
        <f t="shared" si="2"/>
        <v>8</v>
      </c>
      <c r="B19" s="204" t="s">
        <v>594</v>
      </c>
      <c r="C19" s="320">
        <v>1008</v>
      </c>
      <c r="D19" s="320">
        <v>1008</v>
      </c>
      <c r="E19" s="320">
        <v>68386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0</v>
      </c>
      <c r="N19" s="542"/>
      <c r="O19" s="542"/>
      <c r="S19" s="542"/>
      <c r="T19" s="542">
        <f t="shared" si="0"/>
        <v>0</v>
      </c>
      <c r="U19" s="542">
        <f t="shared" si="1"/>
        <v>0</v>
      </c>
    </row>
    <row r="20" spans="1:21" s="5" customFormat="1">
      <c r="A20" s="204">
        <f t="shared" si="2"/>
        <v>9</v>
      </c>
      <c r="B20" s="204" t="s">
        <v>595</v>
      </c>
      <c r="C20" s="320">
        <v>641</v>
      </c>
      <c r="D20" s="320">
        <v>641</v>
      </c>
      <c r="E20" s="320">
        <v>33534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0</v>
      </c>
      <c r="N20" s="542"/>
      <c r="O20" s="542"/>
      <c r="S20" s="542"/>
      <c r="T20" s="542">
        <f t="shared" si="0"/>
        <v>0</v>
      </c>
      <c r="U20" s="542">
        <f t="shared" si="1"/>
        <v>0</v>
      </c>
    </row>
    <row r="21" spans="1:21" s="5" customFormat="1">
      <c r="A21" s="204">
        <f t="shared" si="2"/>
        <v>10</v>
      </c>
      <c r="B21" s="204" t="s">
        <v>596</v>
      </c>
      <c r="C21" s="320">
        <v>1241</v>
      </c>
      <c r="D21" s="320">
        <v>1241</v>
      </c>
      <c r="E21" s="320">
        <v>70245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0</v>
      </c>
      <c r="N21" s="542"/>
      <c r="O21" s="542"/>
      <c r="S21" s="542"/>
      <c r="T21" s="542">
        <f t="shared" si="0"/>
        <v>0</v>
      </c>
      <c r="U21" s="542">
        <f t="shared" si="1"/>
        <v>0</v>
      </c>
    </row>
    <row r="22" spans="1:21" s="5" customFormat="1">
      <c r="A22" s="204">
        <f t="shared" si="2"/>
        <v>11</v>
      </c>
      <c r="B22" s="204" t="s">
        <v>626</v>
      </c>
      <c r="C22" s="320">
        <v>1009</v>
      </c>
      <c r="D22" s="320">
        <v>1009</v>
      </c>
      <c r="E22" s="320">
        <v>39432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  <c r="M22" s="320">
        <v>0</v>
      </c>
      <c r="N22" s="542"/>
      <c r="O22" s="542"/>
      <c r="S22" s="542"/>
      <c r="T22" s="542">
        <f t="shared" si="0"/>
        <v>0</v>
      </c>
      <c r="U22" s="542">
        <f t="shared" si="1"/>
        <v>0</v>
      </c>
    </row>
    <row r="23" spans="1:21" s="5" customFormat="1">
      <c r="A23" s="204">
        <f t="shared" si="2"/>
        <v>12</v>
      </c>
      <c r="B23" s="204" t="s">
        <v>597</v>
      </c>
      <c r="C23" s="320">
        <v>902</v>
      </c>
      <c r="D23" s="320">
        <v>902</v>
      </c>
      <c r="E23" s="320">
        <v>40339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0</v>
      </c>
      <c r="N23" s="542"/>
      <c r="O23" s="542"/>
      <c r="S23" s="542"/>
      <c r="T23" s="542">
        <f t="shared" si="0"/>
        <v>0</v>
      </c>
      <c r="U23" s="542">
        <f t="shared" si="1"/>
        <v>0</v>
      </c>
    </row>
    <row r="24" spans="1:21" s="5" customFormat="1" ht="15" customHeight="1">
      <c r="A24" s="204">
        <f t="shared" si="2"/>
        <v>13</v>
      </c>
      <c r="B24" s="204" t="s">
        <v>598</v>
      </c>
      <c r="C24" s="320">
        <v>397</v>
      </c>
      <c r="D24" s="320">
        <v>397</v>
      </c>
      <c r="E24" s="320">
        <f>63621-31635</f>
        <v>31986</v>
      </c>
      <c r="F24" s="320" t="s">
        <v>893</v>
      </c>
      <c r="G24" s="320">
        <v>1</v>
      </c>
      <c r="H24" s="320">
        <v>460</v>
      </c>
      <c r="I24" s="320">
        <v>31635</v>
      </c>
      <c r="J24" s="320">
        <v>0</v>
      </c>
      <c r="K24" s="320">
        <v>0</v>
      </c>
      <c r="L24" s="320">
        <v>0</v>
      </c>
      <c r="M24" s="320">
        <v>0</v>
      </c>
      <c r="N24" s="542"/>
      <c r="O24" s="542"/>
      <c r="S24" s="542"/>
      <c r="T24" s="542">
        <f t="shared" si="0"/>
        <v>0</v>
      </c>
      <c r="U24" s="542">
        <f t="shared" si="1"/>
        <v>0</v>
      </c>
    </row>
    <row r="25" spans="1:21" s="5" customFormat="1">
      <c r="A25" s="204">
        <f t="shared" si="2"/>
        <v>14</v>
      </c>
      <c r="B25" s="204" t="s">
        <v>627</v>
      </c>
      <c r="C25" s="320">
        <v>769</v>
      </c>
      <c r="D25" s="320">
        <v>769</v>
      </c>
      <c r="E25" s="320">
        <v>36773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542"/>
      <c r="O25" s="542"/>
      <c r="S25" s="542"/>
      <c r="T25" s="542">
        <f t="shared" si="0"/>
        <v>0</v>
      </c>
      <c r="U25" s="542">
        <f t="shared" si="1"/>
        <v>0</v>
      </c>
    </row>
    <row r="26" spans="1:21" s="5" customFormat="1">
      <c r="A26" s="204">
        <f t="shared" si="2"/>
        <v>15</v>
      </c>
      <c r="B26" s="204" t="s">
        <v>599</v>
      </c>
      <c r="C26" s="320">
        <v>891</v>
      </c>
      <c r="D26" s="320">
        <v>891</v>
      </c>
      <c r="E26" s="320">
        <v>63538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542"/>
      <c r="O26" s="542"/>
      <c r="S26" s="542"/>
      <c r="T26" s="542">
        <f t="shared" si="0"/>
        <v>0</v>
      </c>
      <c r="U26" s="542">
        <f t="shared" si="1"/>
        <v>0</v>
      </c>
    </row>
    <row r="27" spans="1:21" s="5" customFormat="1">
      <c r="A27" s="204">
        <f t="shared" si="2"/>
        <v>16</v>
      </c>
      <c r="B27" s="204" t="s">
        <v>600</v>
      </c>
      <c r="C27" s="320">
        <v>496</v>
      </c>
      <c r="D27" s="320">
        <v>496</v>
      </c>
      <c r="E27" s="320">
        <f>66103-2475</f>
        <v>63628</v>
      </c>
      <c r="F27" s="320">
        <v>0</v>
      </c>
      <c r="G27" s="320">
        <v>1</v>
      </c>
      <c r="H27" s="320">
        <v>0</v>
      </c>
      <c r="I27" s="320">
        <v>0</v>
      </c>
      <c r="J27" s="320" t="s">
        <v>892</v>
      </c>
      <c r="K27" s="320">
        <v>1</v>
      </c>
      <c r="L27" s="320">
        <v>18</v>
      </c>
      <c r="M27" s="320">
        <v>2475</v>
      </c>
      <c r="N27" s="542"/>
      <c r="O27" s="542"/>
      <c r="S27" s="542"/>
      <c r="T27" s="542">
        <f t="shared" si="0"/>
        <v>0</v>
      </c>
      <c r="U27" s="542">
        <f t="shared" si="1"/>
        <v>0</v>
      </c>
    </row>
    <row r="28" spans="1:21" s="5" customFormat="1">
      <c r="A28" s="204">
        <f t="shared" si="2"/>
        <v>17</v>
      </c>
      <c r="B28" s="529" t="s">
        <v>684</v>
      </c>
      <c r="C28" s="320">
        <v>409</v>
      </c>
      <c r="D28" s="320">
        <v>409</v>
      </c>
      <c r="E28" s="320">
        <v>15568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542"/>
      <c r="O28" s="542"/>
      <c r="S28" s="542"/>
      <c r="T28" s="542">
        <f t="shared" si="0"/>
        <v>0</v>
      </c>
      <c r="U28" s="542">
        <f t="shared" si="1"/>
        <v>0</v>
      </c>
    </row>
    <row r="29" spans="1:21">
      <c r="A29" s="204">
        <f t="shared" si="2"/>
        <v>18</v>
      </c>
      <c r="B29" s="204" t="s">
        <v>601</v>
      </c>
      <c r="C29" s="320">
        <v>832</v>
      </c>
      <c r="D29" s="320">
        <v>832</v>
      </c>
      <c r="E29" s="320">
        <v>51797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542"/>
      <c r="O29" s="542"/>
      <c r="S29" s="542"/>
      <c r="T29" s="542">
        <f t="shared" si="0"/>
        <v>0</v>
      </c>
      <c r="U29" s="542">
        <f t="shared" si="1"/>
        <v>0</v>
      </c>
    </row>
    <row r="30" spans="1:21">
      <c r="A30" s="204">
        <f t="shared" si="2"/>
        <v>19</v>
      </c>
      <c r="B30" s="204" t="s">
        <v>602</v>
      </c>
      <c r="C30" s="320">
        <v>1430</v>
      </c>
      <c r="D30" s="320">
        <v>1430</v>
      </c>
      <c r="E30" s="320">
        <v>83658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542"/>
      <c r="O30" s="542"/>
      <c r="S30" s="542"/>
      <c r="T30" s="542">
        <f t="shared" si="0"/>
        <v>0</v>
      </c>
      <c r="U30" s="542">
        <f t="shared" si="1"/>
        <v>0</v>
      </c>
    </row>
    <row r="31" spans="1:21" s="527" customFormat="1">
      <c r="A31" s="204">
        <f t="shared" si="2"/>
        <v>20</v>
      </c>
      <c r="B31" s="529" t="s">
        <v>683</v>
      </c>
      <c r="C31" s="320">
        <v>492</v>
      </c>
      <c r="D31" s="320">
        <v>492</v>
      </c>
      <c r="E31" s="320">
        <v>51014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542"/>
      <c r="O31" s="542"/>
      <c r="S31" s="542"/>
      <c r="T31" s="542">
        <f t="shared" si="0"/>
        <v>0</v>
      </c>
      <c r="U31" s="542">
        <f t="shared" si="1"/>
        <v>0</v>
      </c>
    </row>
    <row r="32" spans="1:21">
      <c r="A32" s="204">
        <f t="shared" si="2"/>
        <v>21</v>
      </c>
      <c r="B32" s="529" t="s">
        <v>628</v>
      </c>
      <c r="C32" s="320">
        <v>767</v>
      </c>
      <c r="D32" s="320">
        <v>767</v>
      </c>
      <c r="E32" s="320">
        <v>41509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542"/>
      <c r="O32" s="542"/>
      <c r="S32" s="542"/>
      <c r="T32" s="542">
        <f t="shared" si="0"/>
        <v>0</v>
      </c>
      <c r="U32" s="542">
        <f t="shared" si="1"/>
        <v>0</v>
      </c>
    </row>
    <row r="33" spans="1:21">
      <c r="A33" s="204">
        <f t="shared" si="2"/>
        <v>22</v>
      </c>
      <c r="B33" s="204" t="s">
        <v>603</v>
      </c>
      <c r="C33" s="320">
        <v>1208</v>
      </c>
      <c r="D33" s="320">
        <v>1208</v>
      </c>
      <c r="E33" s="320">
        <v>85477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542"/>
      <c r="O33" s="542"/>
      <c r="S33" s="542"/>
      <c r="T33" s="542">
        <f t="shared" si="0"/>
        <v>0</v>
      </c>
      <c r="U33" s="542">
        <f t="shared" si="1"/>
        <v>0</v>
      </c>
    </row>
    <row r="34" spans="1:21">
      <c r="A34" s="204">
        <f t="shared" si="2"/>
        <v>23</v>
      </c>
      <c r="B34" s="204" t="s">
        <v>604</v>
      </c>
      <c r="C34" s="320">
        <v>529</v>
      </c>
      <c r="D34" s="320">
        <v>529</v>
      </c>
      <c r="E34" s="320">
        <v>25990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542"/>
      <c r="O34" s="542"/>
      <c r="S34" s="542"/>
      <c r="T34" s="542">
        <f t="shared" si="0"/>
        <v>0</v>
      </c>
      <c r="U34" s="542">
        <f t="shared" si="1"/>
        <v>0</v>
      </c>
    </row>
    <row r="35" spans="1:21">
      <c r="A35" s="204">
        <f t="shared" si="2"/>
        <v>24</v>
      </c>
      <c r="B35" s="204" t="s">
        <v>605</v>
      </c>
      <c r="C35" s="320">
        <v>480</v>
      </c>
      <c r="D35" s="320">
        <v>480</v>
      </c>
      <c r="E35" s="320">
        <v>28050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542"/>
      <c r="O35" s="542"/>
      <c r="S35" s="542"/>
      <c r="T35" s="542">
        <f t="shared" si="0"/>
        <v>0</v>
      </c>
      <c r="U35" s="542">
        <f t="shared" si="1"/>
        <v>0</v>
      </c>
    </row>
    <row r="36" spans="1:21">
      <c r="A36" s="204">
        <f t="shared" si="2"/>
        <v>25</v>
      </c>
      <c r="B36" s="204" t="s">
        <v>606</v>
      </c>
      <c r="C36" s="320">
        <v>1268</v>
      </c>
      <c r="D36" s="320">
        <v>1268</v>
      </c>
      <c r="E36" s="320">
        <f>121879-8853</f>
        <v>113026</v>
      </c>
      <c r="F36" s="320">
        <v>0</v>
      </c>
      <c r="G36" s="320">
        <v>0</v>
      </c>
      <c r="H36" s="320">
        <v>0</v>
      </c>
      <c r="I36" s="320">
        <v>0</v>
      </c>
      <c r="J36" s="320" t="s">
        <v>892</v>
      </c>
      <c r="K36" s="320">
        <v>1</v>
      </c>
      <c r="L36" s="320">
        <v>52</v>
      </c>
      <c r="M36" s="320">
        <v>8853</v>
      </c>
      <c r="N36" s="542"/>
      <c r="O36" s="542"/>
      <c r="S36" s="542"/>
      <c r="T36" s="542">
        <f t="shared" si="0"/>
        <v>0</v>
      </c>
      <c r="U36" s="542">
        <f t="shared" si="1"/>
        <v>0</v>
      </c>
    </row>
    <row r="37" spans="1:21">
      <c r="A37" s="204">
        <f t="shared" si="2"/>
        <v>26</v>
      </c>
      <c r="B37" s="204" t="s">
        <v>607</v>
      </c>
      <c r="C37" s="320">
        <v>734</v>
      </c>
      <c r="D37" s="320">
        <v>734</v>
      </c>
      <c r="E37" s="320">
        <f>93797-48150</f>
        <v>45647</v>
      </c>
      <c r="F37" s="320" t="s">
        <v>893</v>
      </c>
      <c r="G37" s="320">
        <v>1</v>
      </c>
      <c r="H37" s="320">
        <v>538</v>
      </c>
      <c r="I37" s="320">
        <v>48150</v>
      </c>
      <c r="J37" s="320">
        <v>0</v>
      </c>
      <c r="K37" s="320">
        <v>0</v>
      </c>
      <c r="L37" s="320">
        <v>0</v>
      </c>
      <c r="M37" s="320">
        <v>0</v>
      </c>
      <c r="N37" s="542"/>
      <c r="O37" s="542"/>
      <c r="S37" s="542"/>
      <c r="T37" s="542">
        <f t="shared" si="0"/>
        <v>0</v>
      </c>
      <c r="U37" s="542">
        <f t="shared" si="1"/>
        <v>0</v>
      </c>
    </row>
    <row r="38" spans="1:21">
      <c r="A38" s="204">
        <f t="shared" si="2"/>
        <v>27</v>
      </c>
      <c r="B38" s="204" t="s">
        <v>608</v>
      </c>
      <c r="C38" s="320">
        <v>963</v>
      </c>
      <c r="D38" s="320">
        <v>963</v>
      </c>
      <c r="E38" s="320">
        <v>64086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320">
        <v>0</v>
      </c>
      <c r="L38" s="320">
        <v>0</v>
      </c>
      <c r="M38" s="320">
        <v>0</v>
      </c>
      <c r="N38" s="542"/>
      <c r="O38" s="542"/>
      <c r="S38" s="542"/>
      <c r="T38" s="542">
        <f t="shared" si="0"/>
        <v>0</v>
      </c>
      <c r="U38" s="542">
        <f t="shared" si="1"/>
        <v>0</v>
      </c>
    </row>
    <row r="39" spans="1:21">
      <c r="A39" s="204">
        <f t="shared" si="2"/>
        <v>28</v>
      </c>
      <c r="B39" s="204" t="s">
        <v>609</v>
      </c>
      <c r="C39" s="320">
        <v>951</v>
      </c>
      <c r="D39" s="320">
        <v>951</v>
      </c>
      <c r="E39" s="320">
        <v>49353</v>
      </c>
      <c r="F39" s="320">
        <v>0</v>
      </c>
      <c r="G39" s="320">
        <v>0</v>
      </c>
      <c r="H39" s="320">
        <v>0</v>
      </c>
      <c r="I39" s="320">
        <v>0</v>
      </c>
      <c r="J39" s="320">
        <v>0</v>
      </c>
      <c r="K39" s="320">
        <v>0</v>
      </c>
      <c r="L39" s="320">
        <v>0</v>
      </c>
      <c r="M39" s="320">
        <v>0</v>
      </c>
      <c r="N39" s="542"/>
      <c r="O39" s="542"/>
      <c r="S39" s="542"/>
      <c r="T39" s="542">
        <f t="shared" si="0"/>
        <v>0</v>
      </c>
      <c r="U39" s="542">
        <f t="shared" si="1"/>
        <v>0</v>
      </c>
    </row>
    <row r="40" spans="1:21">
      <c r="A40" s="204">
        <f t="shared" si="2"/>
        <v>29</v>
      </c>
      <c r="B40" s="204" t="s">
        <v>610</v>
      </c>
      <c r="C40" s="320">
        <v>1033</v>
      </c>
      <c r="D40" s="320">
        <v>1033</v>
      </c>
      <c r="E40" s="320">
        <v>74649</v>
      </c>
      <c r="F40" s="320">
        <v>0</v>
      </c>
      <c r="G40" s="320">
        <v>0</v>
      </c>
      <c r="H40" s="320">
        <v>0</v>
      </c>
      <c r="I40" s="320">
        <v>0</v>
      </c>
      <c r="J40" s="320">
        <v>0</v>
      </c>
      <c r="K40" s="320">
        <v>0</v>
      </c>
      <c r="L40" s="320">
        <v>0</v>
      </c>
      <c r="M40" s="320">
        <v>0</v>
      </c>
      <c r="N40" s="542"/>
      <c r="O40" s="542"/>
      <c r="S40" s="542"/>
      <c r="T40" s="542">
        <f t="shared" si="0"/>
        <v>0</v>
      </c>
      <c r="U40" s="542">
        <f t="shared" si="1"/>
        <v>0</v>
      </c>
    </row>
    <row r="41" spans="1:21">
      <c r="A41" s="204">
        <f t="shared" si="2"/>
        <v>30</v>
      </c>
      <c r="B41" s="502" t="s">
        <v>611</v>
      </c>
      <c r="C41" s="320">
        <v>509</v>
      </c>
      <c r="D41" s="320">
        <v>509</v>
      </c>
      <c r="E41" s="320">
        <v>37101</v>
      </c>
      <c r="F41" s="320">
        <v>0</v>
      </c>
      <c r="G41" s="320">
        <v>0</v>
      </c>
      <c r="H41" s="320">
        <v>0</v>
      </c>
      <c r="I41" s="320">
        <v>0</v>
      </c>
      <c r="J41" s="320">
        <v>0</v>
      </c>
      <c r="K41" s="320">
        <v>0</v>
      </c>
      <c r="L41" s="320">
        <v>0</v>
      </c>
      <c r="M41" s="320">
        <v>0</v>
      </c>
      <c r="N41" s="542"/>
      <c r="O41" s="542"/>
      <c r="S41" s="542"/>
      <c r="T41" s="542">
        <f t="shared" si="0"/>
        <v>0</v>
      </c>
      <c r="U41" s="542">
        <f t="shared" si="1"/>
        <v>0</v>
      </c>
    </row>
    <row r="42" spans="1:21">
      <c r="A42" s="204">
        <f t="shared" si="2"/>
        <v>31</v>
      </c>
      <c r="B42" s="502" t="s">
        <v>612</v>
      </c>
      <c r="C42" s="320">
        <v>607</v>
      </c>
      <c r="D42" s="320">
        <v>607</v>
      </c>
      <c r="E42" s="320">
        <v>28192</v>
      </c>
      <c r="F42" s="320">
        <v>0</v>
      </c>
      <c r="G42" s="320">
        <v>0</v>
      </c>
      <c r="H42" s="320">
        <v>0</v>
      </c>
      <c r="I42" s="320">
        <v>0</v>
      </c>
      <c r="J42" s="320">
        <v>0</v>
      </c>
      <c r="K42" s="320">
        <v>0</v>
      </c>
      <c r="L42" s="320">
        <v>0</v>
      </c>
      <c r="M42" s="320">
        <v>0</v>
      </c>
      <c r="N42" s="542"/>
      <c r="O42" s="542"/>
      <c r="S42" s="542"/>
      <c r="T42" s="542">
        <f t="shared" si="0"/>
        <v>0</v>
      </c>
      <c r="U42" s="542">
        <f t="shared" si="1"/>
        <v>0</v>
      </c>
    </row>
    <row r="43" spans="1:21">
      <c r="A43" s="204">
        <f t="shared" si="2"/>
        <v>32</v>
      </c>
      <c r="B43" s="502" t="s">
        <v>613</v>
      </c>
      <c r="C43" s="320">
        <v>524</v>
      </c>
      <c r="D43" s="320">
        <v>524</v>
      </c>
      <c r="E43" s="320">
        <v>36279</v>
      </c>
      <c r="F43" s="320">
        <v>0</v>
      </c>
      <c r="G43" s="320">
        <v>0</v>
      </c>
      <c r="H43" s="320">
        <v>0</v>
      </c>
      <c r="I43" s="320">
        <v>0</v>
      </c>
      <c r="J43" s="320">
        <v>0</v>
      </c>
      <c r="K43" s="320">
        <v>0</v>
      </c>
      <c r="L43" s="320">
        <v>0</v>
      </c>
      <c r="M43" s="320">
        <v>0</v>
      </c>
      <c r="N43" s="542"/>
      <c r="O43" s="542"/>
      <c r="S43" s="542"/>
      <c r="T43" s="542">
        <f t="shared" si="0"/>
        <v>0</v>
      </c>
      <c r="U43" s="542">
        <f t="shared" si="1"/>
        <v>0</v>
      </c>
    </row>
    <row r="44" spans="1:21">
      <c r="A44" s="204">
        <f t="shared" si="2"/>
        <v>33</v>
      </c>
      <c r="B44" s="502" t="s">
        <v>614</v>
      </c>
      <c r="C44" s="320">
        <v>672</v>
      </c>
      <c r="D44" s="320">
        <v>672</v>
      </c>
      <c r="E44" s="320">
        <v>34671</v>
      </c>
      <c r="F44" s="320">
        <v>0</v>
      </c>
      <c r="G44" s="320">
        <v>0</v>
      </c>
      <c r="H44" s="320">
        <v>0</v>
      </c>
      <c r="I44" s="320">
        <v>0</v>
      </c>
      <c r="J44" s="320">
        <v>0</v>
      </c>
      <c r="K44" s="320">
        <v>0</v>
      </c>
      <c r="L44" s="320">
        <v>0</v>
      </c>
      <c r="M44" s="320">
        <v>0</v>
      </c>
      <c r="N44" s="542"/>
      <c r="O44" s="542"/>
      <c r="S44" s="542"/>
      <c r="T44" s="542">
        <f t="shared" si="0"/>
        <v>0</v>
      </c>
      <c r="U44" s="542">
        <f t="shared" si="1"/>
        <v>0</v>
      </c>
    </row>
    <row r="45" spans="1:21" s="5" customFormat="1">
      <c r="A45" s="274"/>
      <c r="B45" s="274" t="s">
        <v>615</v>
      </c>
      <c r="C45" s="295">
        <f>SUM(C12:C44)</f>
        <v>25395</v>
      </c>
      <c r="D45" s="295">
        <f t="shared" ref="D45:M45" si="3">SUM(D12:D44)</f>
        <v>25395</v>
      </c>
      <c r="E45" s="295">
        <f t="shared" si="3"/>
        <v>1573621</v>
      </c>
      <c r="F45" s="295">
        <f t="shared" si="3"/>
        <v>0</v>
      </c>
      <c r="G45" s="295">
        <v>1</v>
      </c>
      <c r="H45" s="295">
        <f t="shared" si="3"/>
        <v>998</v>
      </c>
      <c r="I45" s="295">
        <f t="shared" si="3"/>
        <v>79785</v>
      </c>
      <c r="J45" s="295">
        <f t="shared" si="3"/>
        <v>0</v>
      </c>
      <c r="K45" s="295">
        <v>1</v>
      </c>
      <c r="L45" s="295">
        <f t="shared" si="3"/>
        <v>936</v>
      </c>
      <c r="M45" s="295">
        <f t="shared" si="3"/>
        <v>142550</v>
      </c>
      <c r="O45" s="542"/>
      <c r="P45" s="542"/>
      <c r="Q45" s="542"/>
      <c r="R45" s="542"/>
      <c r="T45" s="542">
        <f t="shared" si="0"/>
        <v>0</v>
      </c>
      <c r="U45" s="542">
        <f t="shared" si="1"/>
        <v>0</v>
      </c>
    </row>
    <row r="46" spans="1:21">
      <c r="A46" s="215"/>
      <c r="B46" s="215"/>
      <c r="C46" s="215"/>
      <c r="D46" s="215"/>
      <c r="E46" s="215"/>
      <c r="F46" s="198"/>
      <c r="G46" s="198"/>
      <c r="H46" s="198"/>
      <c r="I46" s="198"/>
      <c r="J46" s="198"/>
      <c r="K46" s="198"/>
      <c r="L46" s="198"/>
      <c r="M46" s="198"/>
      <c r="N46" s="198"/>
      <c r="O46" s="605"/>
      <c r="P46" s="198"/>
      <c r="Q46" s="198"/>
    </row>
    <row r="47" spans="1:21" s="5" customFormat="1" ht="27.75" customHeight="1">
      <c r="A47" s="400"/>
      <c r="B47" s="401" t="s">
        <v>671</v>
      </c>
      <c r="C47" s="400"/>
      <c r="D47" s="400"/>
      <c r="E47" s="400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2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605"/>
      <c r="P48" s="198"/>
      <c r="Q48" s="198"/>
    </row>
    <row r="50" spans="10:13" ht="15.75">
      <c r="J50" s="761" t="s">
        <v>908</v>
      </c>
      <c r="K50" s="761"/>
      <c r="L50" s="761"/>
      <c r="M50" s="761"/>
    </row>
    <row r="51" spans="10:13" ht="15.75">
      <c r="J51" s="761" t="s">
        <v>646</v>
      </c>
      <c r="K51" s="761"/>
      <c r="L51" s="761"/>
      <c r="M51" s="761"/>
    </row>
  </sheetData>
  <mergeCells count="12">
    <mergeCell ref="J50:M50"/>
    <mergeCell ref="J51:M51"/>
    <mergeCell ref="A9:A10"/>
    <mergeCell ref="B9:B10"/>
    <mergeCell ref="F9:I9"/>
    <mergeCell ref="J9:M9"/>
    <mergeCell ref="C9:E9"/>
    <mergeCell ref="L1:M1"/>
    <mergeCell ref="A2:M2"/>
    <mergeCell ref="A3:M3"/>
    <mergeCell ref="A5:M5"/>
    <mergeCell ref="A7:B7"/>
  </mergeCells>
  <printOptions horizontalCentered="1"/>
  <pageMargins left="0.42" right="0.33" top="0.48" bottom="0" header="0.31496062992125984" footer="0.31496062992125984"/>
  <pageSetup paperSize="9" scale="6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topLeftCell="A13" zoomScale="84" zoomScaleNormal="70" zoomScaleSheetLayoutView="84" workbookViewId="0">
      <selection activeCell="M29" sqref="M29"/>
    </sheetView>
  </sheetViews>
  <sheetFormatPr defaultRowHeight="12.75"/>
  <cols>
    <col min="1" max="1" width="5.85546875" style="173" customWidth="1"/>
    <col min="2" max="2" width="18.42578125" style="173" customWidth="1"/>
    <col min="3" max="3" width="22.5703125" style="173" bestFit="1" customWidth="1"/>
    <col min="4" max="5" width="9.140625" style="173"/>
    <col min="6" max="6" width="13.42578125" style="173" customWidth="1"/>
    <col min="7" max="7" width="14.85546875" style="173" customWidth="1"/>
    <col min="8" max="8" width="12.42578125" style="173" customWidth="1"/>
    <col min="9" max="9" width="15.28515625" style="173" customWidth="1"/>
    <col min="10" max="10" width="14.28515625" style="173" customWidth="1"/>
    <col min="11" max="11" width="13.85546875" style="173" customWidth="1"/>
    <col min="12" max="12" width="9.140625" style="173" hidden="1" customWidth="1"/>
    <col min="13" max="16384" width="9.140625" style="173"/>
  </cols>
  <sheetData>
    <row r="1" spans="1:13" ht="15.75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953" t="s">
        <v>519</v>
      </c>
      <c r="K1" s="953"/>
    </row>
    <row r="2" spans="1:13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4" spans="1:13">
      <c r="A4" s="700" t="s">
        <v>518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</row>
    <row r="5" spans="1:13">
      <c r="A5" s="76" t="s">
        <v>658</v>
      </c>
      <c r="B5" s="76"/>
      <c r="C5" s="76"/>
      <c r="D5" s="76"/>
      <c r="E5" s="76"/>
      <c r="F5" s="76"/>
      <c r="G5" s="76"/>
      <c r="H5" s="76"/>
      <c r="J5" s="954" t="s">
        <v>774</v>
      </c>
      <c r="K5" s="954"/>
      <c r="L5" s="954"/>
    </row>
    <row r="6" spans="1:13">
      <c r="A6" s="668" t="s">
        <v>2</v>
      </c>
      <c r="B6" s="668" t="s">
        <v>3</v>
      </c>
      <c r="C6" s="668" t="s">
        <v>295</v>
      </c>
      <c r="D6" s="668" t="s">
        <v>296</v>
      </c>
      <c r="E6" s="668"/>
      <c r="F6" s="668"/>
      <c r="G6" s="668"/>
      <c r="H6" s="668"/>
      <c r="I6" s="677" t="s">
        <v>297</v>
      </c>
      <c r="J6" s="678"/>
      <c r="K6" s="679"/>
    </row>
    <row r="7" spans="1:13" ht="76.5">
      <c r="A7" s="668"/>
      <c r="B7" s="668"/>
      <c r="C7" s="668"/>
      <c r="D7" s="150" t="s">
        <v>298</v>
      </c>
      <c r="E7" s="150" t="s">
        <v>195</v>
      </c>
      <c r="F7" s="150" t="s">
        <v>441</v>
      </c>
      <c r="G7" s="150" t="s">
        <v>299</v>
      </c>
      <c r="H7" s="150" t="s">
        <v>412</v>
      </c>
      <c r="I7" s="150" t="s">
        <v>300</v>
      </c>
      <c r="J7" s="150" t="s">
        <v>301</v>
      </c>
      <c r="K7" s="150" t="s">
        <v>302</v>
      </c>
    </row>
    <row r="8" spans="1:13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264</v>
      </c>
      <c r="H8" s="149" t="s">
        <v>265</v>
      </c>
      <c r="I8" s="149" t="s">
        <v>284</v>
      </c>
      <c r="J8" s="149" t="s">
        <v>285</v>
      </c>
      <c r="K8" s="149" t="s">
        <v>286</v>
      </c>
    </row>
    <row r="9" spans="1:13">
      <c r="A9" s="204">
        <v>1</v>
      </c>
      <c r="B9" s="204" t="s">
        <v>625</v>
      </c>
      <c r="C9" s="48" t="s">
        <v>657</v>
      </c>
      <c r="D9" s="353">
        <v>866</v>
      </c>
      <c r="E9" s="353">
        <v>131222</v>
      </c>
      <c r="F9" s="353">
        <v>283</v>
      </c>
      <c r="G9" s="353">
        <v>862</v>
      </c>
      <c r="H9" s="353">
        <v>1145</v>
      </c>
      <c r="I9" s="353">
        <v>0</v>
      </c>
      <c r="J9" s="353">
        <v>85.88</v>
      </c>
      <c r="K9" s="353">
        <f>SUM(I9:J9)</f>
        <v>85.88</v>
      </c>
    </row>
    <row r="10" spans="1:13">
      <c r="A10" s="204">
        <v>2</v>
      </c>
      <c r="B10" s="204" t="s">
        <v>600</v>
      </c>
      <c r="C10" s="48" t="s">
        <v>657</v>
      </c>
      <c r="D10" s="353">
        <v>18</v>
      </c>
      <c r="E10" s="353">
        <v>2475</v>
      </c>
      <c r="F10" s="353">
        <v>0</v>
      </c>
      <c r="G10" s="353">
        <v>17</v>
      </c>
      <c r="H10" s="353">
        <v>17</v>
      </c>
      <c r="I10" s="353">
        <v>0</v>
      </c>
      <c r="J10" s="353">
        <v>1.36</v>
      </c>
      <c r="K10" s="353">
        <f t="shared" ref="K10:K13" si="0">SUM(I10:J10)</f>
        <v>1.36</v>
      </c>
      <c r="M10" s="350"/>
    </row>
    <row r="11" spans="1:13">
      <c r="A11" s="204">
        <v>3</v>
      </c>
      <c r="B11" s="204" t="s">
        <v>606</v>
      </c>
      <c r="C11" s="48" t="s">
        <v>657</v>
      </c>
      <c r="D11" s="348">
        <v>52</v>
      </c>
      <c r="E11" s="348">
        <v>8853</v>
      </c>
      <c r="F11" s="348">
        <v>150</v>
      </c>
      <c r="G11" s="348">
        <v>0</v>
      </c>
      <c r="H11" s="353">
        <v>200</v>
      </c>
      <c r="I11" s="624">
        <v>15</v>
      </c>
      <c r="J11" s="624">
        <v>0</v>
      </c>
      <c r="K11" s="625">
        <f t="shared" si="0"/>
        <v>15</v>
      </c>
    </row>
    <row r="12" spans="1:13">
      <c r="A12" s="204">
        <v>4</v>
      </c>
      <c r="B12" s="204" t="s">
        <v>607</v>
      </c>
      <c r="C12" s="75" t="s">
        <v>656</v>
      </c>
      <c r="D12" s="348">
        <v>538</v>
      </c>
      <c r="E12" s="348">
        <v>48150</v>
      </c>
      <c r="F12" s="348">
        <v>105</v>
      </c>
      <c r="G12" s="348">
        <v>508</v>
      </c>
      <c r="H12" s="353">
        <v>613</v>
      </c>
      <c r="I12" s="348">
        <v>9.4499999999999993</v>
      </c>
      <c r="J12" s="348">
        <v>45.720000000000006</v>
      </c>
      <c r="K12" s="353">
        <f t="shared" si="0"/>
        <v>55.17</v>
      </c>
    </row>
    <row r="13" spans="1:13" s="579" customFormat="1">
      <c r="A13" s="204">
        <v>5</v>
      </c>
      <c r="B13" s="204" t="s">
        <v>598</v>
      </c>
      <c r="C13" s="75" t="s">
        <v>656</v>
      </c>
      <c r="D13" s="545">
        <v>460</v>
      </c>
      <c r="E13" s="545">
        <v>31635</v>
      </c>
      <c r="F13" s="545">
        <v>0</v>
      </c>
      <c r="G13" s="545">
        <v>963</v>
      </c>
      <c r="H13" s="353">
        <v>963</v>
      </c>
      <c r="I13" s="545">
        <v>0</v>
      </c>
      <c r="J13" s="545">
        <f>963*1000*7/100000</f>
        <v>67.41</v>
      </c>
      <c r="K13" s="353">
        <f t="shared" si="0"/>
        <v>67.41</v>
      </c>
    </row>
    <row r="14" spans="1:13" s="5" customFormat="1">
      <c r="A14" s="274"/>
      <c r="B14" s="274" t="s">
        <v>615</v>
      </c>
      <c r="C14" s="349"/>
      <c r="D14" s="347">
        <f t="shared" ref="D14:K14" si="1">SUM(D9:D13)</f>
        <v>1934</v>
      </c>
      <c r="E14" s="603">
        <f t="shared" si="1"/>
        <v>222335</v>
      </c>
      <c r="F14" s="603">
        <f t="shared" si="1"/>
        <v>538</v>
      </c>
      <c r="G14" s="603">
        <f t="shared" si="1"/>
        <v>2350</v>
      </c>
      <c r="H14" s="603">
        <f t="shared" si="1"/>
        <v>2938</v>
      </c>
      <c r="I14" s="603">
        <f t="shared" si="1"/>
        <v>24.45</v>
      </c>
      <c r="J14" s="603">
        <f t="shared" si="1"/>
        <v>200.37</v>
      </c>
      <c r="K14" s="603">
        <f t="shared" si="1"/>
        <v>224.82</v>
      </c>
    </row>
    <row r="15" spans="1:13">
      <c r="C15" s="352"/>
    </row>
    <row r="16" spans="1:13">
      <c r="A16" s="5" t="s">
        <v>442</v>
      </c>
    </row>
    <row r="20" spans="8:11" ht="15.75">
      <c r="H20" s="761" t="s">
        <v>908</v>
      </c>
      <c r="I20" s="761"/>
      <c r="J20" s="761"/>
      <c r="K20" s="761"/>
    </row>
    <row r="21" spans="8:11" ht="15.75">
      <c r="H21" s="761" t="s">
        <v>646</v>
      </c>
      <c r="I21" s="761"/>
      <c r="J21" s="761"/>
      <c r="K21" s="761"/>
    </row>
  </sheetData>
  <mergeCells count="12">
    <mergeCell ref="H20:K20"/>
    <mergeCell ref="H21:K21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44" right="0.44" top="0.5" bottom="0" header="0.31496062992125984" footer="0.31496062992125984"/>
  <pageSetup paperSize="9" scale="9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topLeftCell="A3" zoomScale="80" zoomScaleNormal="70" zoomScaleSheetLayoutView="80" workbookViewId="0">
      <selection activeCell="N17" sqref="N17"/>
    </sheetView>
  </sheetViews>
  <sheetFormatPr defaultRowHeight="12.75"/>
  <cols>
    <col min="1" max="1" width="7.85546875" style="173" customWidth="1"/>
    <col min="2" max="2" width="14.7109375" style="173" bestFit="1" customWidth="1"/>
    <col min="3" max="3" width="9.140625" style="173"/>
    <col min="4" max="4" width="22.5703125" style="173" bestFit="1" customWidth="1"/>
    <col min="5" max="6" width="9.140625" style="173"/>
    <col min="7" max="7" width="12.28515625" style="173" customWidth="1"/>
    <col min="8" max="8" width="11.5703125" style="173" customWidth="1"/>
    <col min="9" max="12" width="10.42578125" style="173" customWidth="1"/>
    <col min="13" max="13" width="11" style="173" customWidth="1"/>
    <col min="14" max="14" width="10" style="173" customWidth="1"/>
    <col min="15" max="15" width="11.85546875" style="173" customWidth="1"/>
    <col min="16" max="16" width="10" style="173" customWidth="1"/>
    <col min="17" max="16384" width="9.140625" style="173"/>
  </cols>
  <sheetData>
    <row r="1" spans="1:15" ht="15.75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212" t="s">
        <v>521</v>
      </c>
    </row>
    <row r="2" spans="1:15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</row>
    <row r="4" spans="1:15" ht="15.75">
      <c r="A4" s="702" t="s">
        <v>520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5">
      <c r="A5" s="76" t="s">
        <v>658</v>
      </c>
      <c r="B5" s="76"/>
      <c r="C5" s="76"/>
      <c r="D5" s="76"/>
      <c r="E5" s="76"/>
      <c r="F5" s="76"/>
      <c r="G5" s="76"/>
      <c r="H5" s="76"/>
      <c r="I5" s="76"/>
      <c r="J5" s="76"/>
      <c r="M5" s="793" t="s">
        <v>774</v>
      </c>
      <c r="N5" s="793"/>
      <c r="O5" s="793"/>
    </row>
    <row r="6" spans="1:15" ht="44.25" customHeight="1">
      <c r="A6" s="668" t="s">
        <v>2</v>
      </c>
      <c r="B6" s="668" t="s">
        <v>3</v>
      </c>
      <c r="C6" s="668" t="s">
        <v>303</v>
      </c>
      <c r="D6" s="795" t="s">
        <v>304</v>
      </c>
      <c r="E6" s="795" t="s">
        <v>305</v>
      </c>
      <c r="F6" s="795" t="s">
        <v>306</v>
      </c>
      <c r="G6" s="795" t="s">
        <v>307</v>
      </c>
      <c r="H6" s="668" t="s">
        <v>308</v>
      </c>
      <c r="I6" s="668"/>
      <c r="J6" s="668" t="s">
        <v>309</v>
      </c>
      <c r="K6" s="668"/>
      <c r="L6" s="668" t="s">
        <v>310</v>
      </c>
      <c r="M6" s="668"/>
      <c r="N6" s="668" t="s">
        <v>311</v>
      </c>
      <c r="O6" s="668"/>
    </row>
    <row r="7" spans="1:15" ht="54" customHeight="1">
      <c r="A7" s="668"/>
      <c r="B7" s="668"/>
      <c r="C7" s="668"/>
      <c r="D7" s="796"/>
      <c r="E7" s="796"/>
      <c r="F7" s="796"/>
      <c r="G7" s="796"/>
      <c r="H7" s="150" t="s">
        <v>312</v>
      </c>
      <c r="I7" s="150" t="s">
        <v>313</v>
      </c>
      <c r="J7" s="150" t="s">
        <v>312</v>
      </c>
      <c r="K7" s="150" t="s">
        <v>313</v>
      </c>
      <c r="L7" s="150" t="s">
        <v>312</v>
      </c>
      <c r="M7" s="150" t="s">
        <v>313</v>
      </c>
      <c r="N7" s="150" t="s">
        <v>312</v>
      </c>
      <c r="O7" s="150" t="s">
        <v>313</v>
      </c>
    </row>
    <row r="8" spans="1:15">
      <c r="A8" s="149" t="s">
        <v>258</v>
      </c>
      <c r="B8" s="149" t="s">
        <v>259</v>
      </c>
      <c r="C8" s="149" t="s">
        <v>260</v>
      </c>
      <c r="D8" s="149" t="s">
        <v>261</v>
      </c>
      <c r="E8" s="283" t="s">
        <v>262</v>
      </c>
      <c r="F8" s="283" t="s">
        <v>263</v>
      </c>
      <c r="G8" s="283" t="s">
        <v>264</v>
      </c>
      <c r="H8" s="283" t="s">
        <v>265</v>
      </c>
      <c r="I8" s="283" t="s">
        <v>284</v>
      </c>
      <c r="J8" s="283" t="s">
        <v>285</v>
      </c>
      <c r="K8" s="283" t="s">
        <v>286</v>
      </c>
      <c r="L8" s="283" t="s">
        <v>314</v>
      </c>
      <c r="M8" s="283" t="s">
        <v>315</v>
      </c>
      <c r="N8" s="283" t="s">
        <v>316</v>
      </c>
      <c r="O8" s="283" t="s">
        <v>317</v>
      </c>
    </row>
    <row r="9" spans="1:15" s="350" customFormat="1">
      <c r="A9" s="204">
        <v>1</v>
      </c>
      <c r="B9" s="204" t="s">
        <v>625</v>
      </c>
      <c r="C9" s="281">
        <v>1</v>
      </c>
      <c r="D9" s="48" t="s">
        <v>657</v>
      </c>
      <c r="E9" s="281">
        <v>866</v>
      </c>
      <c r="F9" s="281">
        <v>131222</v>
      </c>
      <c r="G9" s="281" t="s">
        <v>731</v>
      </c>
      <c r="H9" s="584">
        <v>2539.1999999999998</v>
      </c>
      <c r="I9" s="584">
        <v>1651.056</v>
      </c>
      <c r="J9" s="584">
        <v>690.78</v>
      </c>
      <c r="K9" s="584">
        <v>656.31</v>
      </c>
      <c r="L9" s="391">
        <v>166.08</v>
      </c>
      <c r="M9" s="391">
        <v>85.88</v>
      </c>
      <c r="N9" s="391">
        <v>10.37</v>
      </c>
      <c r="O9" s="391">
        <v>3.49</v>
      </c>
    </row>
    <row r="10" spans="1:15" s="350" customFormat="1">
      <c r="A10" s="204">
        <v>2</v>
      </c>
      <c r="B10" s="204" t="s">
        <v>600</v>
      </c>
      <c r="C10" s="282" t="s">
        <v>7</v>
      </c>
      <c r="D10" s="282" t="s">
        <v>7</v>
      </c>
      <c r="E10" s="48" t="s">
        <v>7</v>
      </c>
      <c r="F10" s="48" t="s">
        <v>7</v>
      </c>
      <c r="G10" s="48" t="s">
        <v>7</v>
      </c>
      <c r="H10" s="585" t="s">
        <v>7</v>
      </c>
      <c r="I10" s="585" t="s">
        <v>7</v>
      </c>
      <c r="J10" s="585" t="s">
        <v>7</v>
      </c>
      <c r="K10" s="585" t="s">
        <v>7</v>
      </c>
      <c r="L10" s="585" t="s">
        <v>7</v>
      </c>
      <c r="M10" s="585" t="s">
        <v>7</v>
      </c>
      <c r="N10" s="585" t="s">
        <v>7</v>
      </c>
      <c r="O10" s="585" t="s">
        <v>7</v>
      </c>
    </row>
    <row r="11" spans="1:15" s="350" customFormat="1">
      <c r="A11" s="204">
        <v>3</v>
      </c>
      <c r="B11" s="204" t="s">
        <v>606</v>
      </c>
      <c r="C11" s="282" t="s">
        <v>7</v>
      </c>
      <c r="D11" s="282" t="s">
        <v>7</v>
      </c>
      <c r="E11" s="282" t="s">
        <v>7</v>
      </c>
      <c r="F11" s="282" t="s">
        <v>7</v>
      </c>
      <c r="G11" s="282" t="s">
        <v>7</v>
      </c>
      <c r="H11" s="586" t="s">
        <v>7</v>
      </c>
      <c r="I11" s="586" t="s">
        <v>7</v>
      </c>
      <c r="J11" s="586" t="s">
        <v>7</v>
      </c>
      <c r="K11" s="586" t="s">
        <v>7</v>
      </c>
      <c r="L11" s="586" t="s">
        <v>7</v>
      </c>
      <c r="M11" s="586" t="s">
        <v>7</v>
      </c>
      <c r="N11" s="586" t="s">
        <v>7</v>
      </c>
      <c r="O11" s="586" t="s">
        <v>7</v>
      </c>
    </row>
    <row r="12" spans="1:15" s="350" customFormat="1">
      <c r="A12" s="204">
        <v>4</v>
      </c>
      <c r="B12" s="204" t="s">
        <v>607</v>
      </c>
      <c r="C12" s="75">
        <v>1</v>
      </c>
      <c r="D12" s="75" t="s">
        <v>733</v>
      </c>
      <c r="E12" s="75">
        <v>538</v>
      </c>
      <c r="F12" s="75">
        <v>48150</v>
      </c>
      <c r="G12" s="75">
        <v>0</v>
      </c>
      <c r="H12" s="391">
        <v>740.9</v>
      </c>
      <c r="I12" s="391">
        <v>740.9</v>
      </c>
      <c r="J12" s="391">
        <v>476.12999999999994</v>
      </c>
      <c r="K12" s="391">
        <v>428.51699999999994</v>
      </c>
      <c r="L12" s="391">
        <v>10.5</v>
      </c>
      <c r="M12" s="391">
        <v>8.4</v>
      </c>
      <c r="N12" s="391">
        <v>0</v>
      </c>
      <c r="O12" s="391">
        <v>0</v>
      </c>
    </row>
    <row r="13" spans="1:15" s="604" customFormat="1">
      <c r="A13" s="204">
        <v>5</v>
      </c>
      <c r="B13" s="204" t="s">
        <v>894</v>
      </c>
      <c r="C13" s="75">
        <v>1</v>
      </c>
      <c r="D13" s="75" t="s">
        <v>733</v>
      </c>
      <c r="E13" s="75">
        <v>460</v>
      </c>
      <c r="F13" s="75">
        <v>31635</v>
      </c>
      <c r="G13" s="75">
        <v>0</v>
      </c>
      <c r="H13" s="391">
        <v>560.07100000000014</v>
      </c>
      <c r="I13" s="391">
        <v>499.18299999999999</v>
      </c>
      <c r="J13" s="391">
        <v>286.7</v>
      </c>
      <c r="K13" s="391">
        <v>175.62</v>
      </c>
      <c r="L13" s="391">
        <v>0</v>
      </c>
      <c r="M13" s="391">
        <v>0</v>
      </c>
      <c r="N13" s="391">
        <v>0</v>
      </c>
      <c r="O13" s="391">
        <v>0</v>
      </c>
    </row>
    <row r="14" spans="1:15" s="5" customFormat="1">
      <c r="A14" s="349"/>
      <c r="B14" s="349" t="s">
        <v>615</v>
      </c>
      <c r="C14" s="17"/>
      <c r="D14" s="17"/>
      <c r="E14" s="385">
        <f>SUM(E9:E13)</f>
        <v>1864</v>
      </c>
      <c r="F14" s="602">
        <f>SUM(F9:F13)</f>
        <v>211007</v>
      </c>
      <c r="G14" s="602">
        <f>SUM(G9:G13)</f>
        <v>0</v>
      </c>
      <c r="H14" s="392">
        <f>SUM(H9:H13)</f>
        <v>3840.1710000000003</v>
      </c>
      <c r="I14" s="392">
        <f t="shared" ref="I14:O14" si="0">SUM(I9:I13)</f>
        <v>2891.1390000000001</v>
      </c>
      <c r="J14" s="392">
        <f t="shared" si="0"/>
        <v>1453.61</v>
      </c>
      <c r="K14" s="392">
        <f t="shared" si="0"/>
        <v>1260.4469999999997</v>
      </c>
      <c r="L14" s="392">
        <f t="shared" si="0"/>
        <v>176.58</v>
      </c>
      <c r="M14" s="392">
        <f t="shared" si="0"/>
        <v>94.28</v>
      </c>
      <c r="N14" s="392">
        <f t="shared" si="0"/>
        <v>10.37</v>
      </c>
      <c r="O14" s="392">
        <f t="shared" si="0"/>
        <v>3.49</v>
      </c>
    </row>
    <row r="15" spans="1:15"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</row>
    <row r="16" spans="1:15" s="651" customFormat="1"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</row>
    <row r="17" spans="5:15" s="651" customFormat="1"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</row>
    <row r="18" spans="5:15" s="651" customFormat="1"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</row>
    <row r="19" spans="5:15" s="651" customFormat="1"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</row>
    <row r="22" spans="5:15" ht="15.75">
      <c r="K22" s="761" t="s">
        <v>908</v>
      </c>
      <c r="L22" s="761"/>
      <c r="M22" s="761"/>
      <c r="N22" s="761"/>
      <c r="O22" s="761"/>
    </row>
    <row r="23" spans="5:15" ht="15.75">
      <c r="K23" s="761" t="s">
        <v>646</v>
      </c>
      <c r="L23" s="761"/>
      <c r="M23" s="761"/>
      <c r="N23" s="761"/>
      <c r="O23" s="761"/>
    </row>
  </sheetData>
  <mergeCells count="17">
    <mergeCell ref="L6:M6"/>
    <mergeCell ref="N6:O6"/>
    <mergeCell ref="K22:O22"/>
    <mergeCell ref="K23:O23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</mergeCells>
  <printOptions horizontalCentered="1"/>
  <pageMargins left="0.42" right="0.39" top="0.43" bottom="0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topLeftCell="I4" zoomScale="80" zoomScaleNormal="70" zoomScaleSheetLayoutView="80" workbookViewId="0">
      <selection activeCell="AD29" sqref="AD29"/>
    </sheetView>
  </sheetViews>
  <sheetFormatPr defaultColWidth="9.140625" defaultRowHeight="12.75"/>
  <cols>
    <col min="1" max="1" width="7.28515625" style="97" customWidth="1"/>
    <col min="2" max="2" width="26" style="97" customWidth="1"/>
    <col min="3" max="3" width="11.140625" style="97" bestFit="1" customWidth="1"/>
    <col min="4" max="4" width="10.7109375" style="97" bestFit="1" customWidth="1"/>
    <col min="5" max="5" width="9.7109375" style="97" bestFit="1" customWidth="1"/>
    <col min="6" max="6" width="16" style="97" customWidth="1"/>
    <col min="7" max="9" width="10.7109375" style="97" customWidth="1"/>
    <col min="10" max="10" width="12.7109375" style="97" bestFit="1" customWidth="1"/>
    <col min="11" max="11" width="10.5703125" style="97" bestFit="1" customWidth="1"/>
    <col min="12" max="13" width="9.42578125" style="97" bestFit="1" customWidth="1"/>
    <col min="14" max="14" width="12.7109375" style="97" bestFit="1" customWidth="1"/>
    <col min="15" max="15" width="10.5703125" style="97" bestFit="1" customWidth="1"/>
    <col min="16" max="17" width="9.28515625" style="97" bestFit="1" customWidth="1"/>
    <col min="18" max="18" width="12.7109375" style="97" bestFit="1" customWidth="1"/>
    <col min="19" max="21" width="8.85546875" style="97" customWidth="1"/>
    <col min="22" max="22" width="11.7109375" style="97" bestFit="1" customWidth="1"/>
    <col min="23" max="16384" width="9.140625" style="97"/>
  </cols>
  <sheetData>
    <row r="1" spans="1:24" ht="15">
      <c r="V1" s="98" t="s">
        <v>536</v>
      </c>
    </row>
    <row r="2" spans="1:24" ht="15.75">
      <c r="A2" s="762" t="s">
        <v>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</row>
    <row r="3" spans="1:24" ht="20.25">
      <c r="A3" s="763" t="s">
        <v>737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63"/>
      <c r="X3" s="63"/>
    </row>
    <row r="4" spans="1:24" ht="18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4" ht="15.75">
      <c r="B5" s="778" t="s">
        <v>767</v>
      </c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40"/>
      <c r="U5" s="748" t="s">
        <v>247</v>
      </c>
      <c r="V5" s="749"/>
    </row>
    <row r="6" spans="1:24" ht="15">
      <c r="K6" s="39"/>
      <c r="L6" s="39"/>
      <c r="M6" s="39"/>
      <c r="N6" s="39"/>
      <c r="O6" s="39"/>
      <c r="P6" s="39"/>
      <c r="Q6" s="39"/>
      <c r="R6" s="39"/>
    </row>
    <row r="7" spans="1:24" s="5" customFormat="1">
      <c r="A7" s="21" t="s">
        <v>658</v>
      </c>
      <c r="B7" s="21"/>
      <c r="T7" s="5" t="s">
        <v>771</v>
      </c>
    </row>
    <row r="8" spans="1:24" ht="35.25" customHeight="1">
      <c r="A8" s="750" t="s">
        <v>2</v>
      </c>
      <c r="B8" s="750" t="s">
        <v>143</v>
      </c>
      <c r="C8" s="751" t="s">
        <v>144</v>
      </c>
      <c r="D8" s="751"/>
      <c r="E8" s="751"/>
      <c r="F8" s="751" t="s">
        <v>145</v>
      </c>
      <c r="G8" s="750" t="s">
        <v>173</v>
      </c>
      <c r="H8" s="750"/>
      <c r="I8" s="750"/>
      <c r="J8" s="750"/>
      <c r="K8" s="750"/>
      <c r="L8" s="750"/>
      <c r="M8" s="750"/>
      <c r="N8" s="750"/>
      <c r="O8" s="750" t="s">
        <v>174</v>
      </c>
      <c r="P8" s="750"/>
      <c r="Q8" s="750"/>
      <c r="R8" s="750"/>
      <c r="S8" s="750"/>
      <c r="T8" s="750"/>
      <c r="U8" s="750"/>
      <c r="V8" s="750"/>
    </row>
    <row r="9" spans="1:24" ht="15">
      <c r="A9" s="750"/>
      <c r="B9" s="750"/>
      <c r="C9" s="751" t="s">
        <v>248</v>
      </c>
      <c r="D9" s="751" t="s">
        <v>39</v>
      </c>
      <c r="E9" s="751" t="s">
        <v>40</v>
      </c>
      <c r="F9" s="751"/>
      <c r="G9" s="750" t="s">
        <v>175</v>
      </c>
      <c r="H9" s="750"/>
      <c r="I9" s="750"/>
      <c r="J9" s="750"/>
      <c r="K9" s="750" t="s">
        <v>160</v>
      </c>
      <c r="L9" s="750"/>
      <c r="M9" s="750"/>
      <c r="N9" s="750"/>
      <c r="O9" s="750" t="s">
        <v>146</v>
      </c>
      <c r="P9" s="750"/>
      <c r="Q9" s="750"/>
      <c r="R9" s="750"/>
      <c r="S9" s="750" t="s">
        <v>159</v>
      </c>
      <c r="T9" s="750"/>
      <c r="U9" s="750"/>
      <c r="V9" s="750"/>
    </row>
    <row r="10" spans="1:24">
      <c r="A10" s="750"/>
      <c r="B10" s="750"/>
      <c r="C10" s="751"/>
      <c r="D10" s="751"/>
      <c r="E10" s="751"/>
      <c r="F10" s="751"/>
      <c r="G10" s="772" t="s">
        <v>147</v>
      </c>
      <c r="H10" s="773"/>
      <c r="I10" s="774"/>
      <c r="J10" s="752" t="s">
        <v>148</v>
      </c>
      <c r="K10" s="755" t="s">
        <v>147</v>
      </c>
      <c r="L10" s="756"/>
      <c r="M10" s="757"/>
      <c r="N10" s="752" t="s">
        <v>148</v>
      </c>
      <c r="O10" s="755" t="s">
        <v>147</v>
      </c>
      <c r="P10" s="756"/>
      <c r="Q10" s="757"/>
      <c r="R10" s="752" t="s">
        <v>148</v>
      </c>
      <c r="S10" s="755" t="s">
        <v>147</v>
      </c>
      <c r="T10" s="756"/>
      <c r="U10" s="757"/>
      <c r="V10" s="752" t="s">
        <v>148</v>
      </c>
    </row>
    <row r="11" spans="1:24" ht="15" customHeight="1">
      <c r="A11" s="750"/>
      <c r="B11" s="750"/>
      <c r="C11" s="751"/>
      <c r="D11" s="751"/>
      <c r="E11" s="751"/>
      <c r="F11" s="751"/>
      <c r="G11" s="775"/>
      <c r="H11" s="776"/>
      <c r="I11" s="777"/>
      <c r="J11" s="753"/>
      <c r="K11" s="758"/>
      <c r="L11" s="759"/>
      <c r="M11" s="760"/>
      <c r="N11" s="753"/>
      <c r="O11" s="758"/>
      <c r="P11" s="759"/>
      <c r="Q11" s="760"/>
      <c r="R11" s="753"/>
      <c r="S11" s="758"/>
      <c r="T11" s="759"/>
      <c r="U11" s="760"/>
      <c r="V11" s="753"/>
    </row>
    <row r="12" spans="1:24" ht="15">
      <c r="A12" s="750"/>
      <c r="B12" s="750"/>
      <c r="C12" s="751"/>
      <c r="D12" s="751"/>
      <c r="E12" s="751"/>
      <c r="F12" s="751"/>
      <c r="G12" s="101" t="s">
        <v>248</v>
      </c>
      <c r="H12" s="101" t="s">
        <v>39</v>
      </c>
      <c r="I12" s="102" t="s">
        <v>40</v>
      </c>
      <c r="J12" s="754"/>
      <c r="K12" s="100" t="s">
        <v>248</v>
      </c>
      <c r="L12" s="100" t="s">
        <v>39</v>
      </c>
      <c r="M12" s="100" t="s">
        <v>40</v>
      </c>
      <c r="N12" s="754"/>
      <c r="O12" s="100" t="s">
        <v>248</v>
      </c>
      <c r="P12" s="100" t="s">
        <v>39</v>
      </c>
      <c r="Q12" s="100" t="s">
        <v>40</v>
      </c>
      <c r="R12" s="754"/>
      <c r="S12" s="100" t="s">
        <v>248</v>
      </c>
      <c r="T12" s="100" t="s">
        <v>39</v>
      </c>
      <c r="U12" s="100" t="s">
        <v>40</v>
      </c>
      <c r="V12" s="754"/>
    </row>
    <row r="13" spans="1:24" ht="15">
      <c r="A13" s="100">
        <v>1</v>
      </c>
      <c r="B13" s="100">
        <v>2</v>
      </c>
      <c r="C13" s="100">
        <v>3</v>
      </c>
      <c r="D13" s="100">
        <v>4</v>
      </c>
      <c r="E13" s="100">
        <v>5</v>
      </c>
      <c r="F13" s="100">
        <v>6</v>
      </c>
      <c r="G13" s="100">
        <v>7</v>
      </c>
      <c r="H13" s="100">
        <v>8</v>
      </c>
      <c r="I13" s="100">
        <v>9</v>
      </c>
      <c r="J13" s="100">
        <v>10</v>
      </c>
      <c r="K13" s="100">
        <v>11</v>
      </c>
      <c r="L13" s="100">
        <v>12</v>
      </c>
      <c r="M13" s="100">
        <v>13</v>
      </c>
      <c r="N13" s="100">
        <v>14</v>
      </c>
      <c r="O13" s="100">
        <v>15</v>
      </c>
      <c r="P13" s="100">
        <v>16</v>
      </c>
      <c r="Q13" s="100">
        <v>17</v>
      </c>
      <c r="R13" s="100">
        <v>18</v>
      </c>
      <c r="S13" s="100">
        <v>19</v>
      </c>
      <c r="T13" s="100">
        <v>20</v>
      </c>
      <c r="U13" s="100">
        <v>21</v>
      </c>
      <c r="V13" s="100">
        <v>22</v>
      </c>
    </row>
    <row r="14" spans="1:24" ht="15.75">
      <c r="A14" s="764" t="s">
        <v>207</v>
      </c>
      <c r="B14" s="765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4" ht="15.75">
      <c r="A15" s="293">
        <v>1</v>
      </c>
      <c r="B15" s="291" t="s">
        <v>647</v>
      </c>
      <c r="C15" s="433">
        <f>923.27*71.46%</f>
        <v>659.76874199999986</v>
      </c>
      <c r="D15" s="433">
        <f>923.27*18.75%</f>
        <v>173.113125</v>
      </c>
      <c r="E15" s="433">
        <f>923.27*9.79%</f>
        <v>90.388132999999982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90"/>
    </row>
    <row r="16" spans="1:24" ht="15">
      <c r="A16" s="100">
        <v>2</v>
      </c>
      <c r="B16" s="103" t="s">
        <v>206</v>
      </c>
      <c r="C16" s="434">
        <f>6255.59*71.46%</f>
        <v>4470.2446139999993</v>
      </c>
      <c r="D16" s="434">
        <f>6255.59*18.75%</f>
        <v>1172.923125</v>
      </c>
      <c r="E16" s="434">
        <f>6255.59*9.79%</f>
        <v>612.42226099999993</v>
      </c>
      <c r="F16" s="402" t="s">
        <v>815</v>
      </c>
      <c r="G16" s="434">
        <f>6255.59*71.46%</f>
        <v>4470.2446139999993</v>
      </c>
      <c r="H16" s="434">
        <f>6255.59*18.75%</f>
        <v>1172.923125</v>
      </c>
      <c r="I16" s="434">
        <f>6255.59*9.79%</f>
        <v>612.42226099999993</v>
      </c>
      <c r="J16" s="270" t="s">
        <v>817</v>
      </c>
      <c r="K16" s="434">
        <f>6255.59*71.46%</f>
        <v>4470.2446139999993</v>
      </c>
      <c r="L16" s="434">
        <f>6255.59*18.75%</f>
        <v>1172.923125</v>
      </c>
      <c r="M16" s="434">
        <f>6255.59*9.79%</f>
        <v>612.42226099999993</v>
      </c>
      <c r="N16" s="270" t="s">
        <v>819</v>
      </c>
      <c r="O16" s="434">
        <f>6255.59*71.46%</f>
        <v>4470.2446139999993</v>
      </c>
      <c r="P16" s="434">
        <f>6255.59*18.75%</f>
        <v>1172.923125</v>
      </c>
      <c r="Q16" s="434">
        <f>6255.59*9.79%</f>
        <v>612.42226099999993</v>
      </c>
      <c r="R16" s="402" t="s">
        <v>881</v>
      </c>
      <c r="S16" s="104" t="s">
        <v>7</v>
      </c>
      <c r="T16" s="104" t="s">
        <v>7</v>
      </c>
      <c r="U16" s="104" t="s">
        <v>7</v>
      </c>
      <c r="V16" s="769" t="s">
        <v>642</v>
      </c>
    </row>
    <row r="17" spans="1:22" ht="15">
      <c r="A17" s="100">
        <v>3</v>
      </c>
      <c r="B17" s="103" t="s">
        <v>149</v>
      </c>
      <c r="C17" s="434">
        <f>9918.98*71.46%</f>
        <v>7088.1031079999984</v>
      </c>
      <c r="D17" s="434">
        <f>9918.98*18.75%</f>
        <v>1859.8087499999999</v>
      </c>
      <c r="E17" s="434">
        <f>9918.98*9.79%</f>
        <v>971.06814199999985</v>
      </c>
      <c r="F17" s="270" t="s">
        <v>816</v>
      </c>
      <c r="G17" s="434">
        <f>9918.98*71.46%</f>
        <v>7088.1031079999984</v>
      </c>
      <c r="H17" s="434">
        <f>9918.98*18.75%</f>
        <v>1859.8087499999999</v>
      </c>
      <c r="I17" s="434">
        <f>9918.98*9.79%</f>
        <v>971.06814199999985</v>
      </c>
      <c r="J17" s="270" t="s">
        <v>882</v>
      </c>
      <c r="K17" s="434">
        <f>9918.98*71.46%</f>
        <v>7088.1031079999984</v>
      </c>
      <c r="L17" s="434">
        <f>9918.98*18.75%</f>
        <v>1859.8087499999999</v>
      </c>
      <c r="M17" s="434">
        <f>9918.98*9.79%</f>
        <v>971.06814199999985</v>
      </c>
      <c r="N17" s="270" t="s">
        <v>883</v>
      </c>
      <c r="O17" s="434">
        <f>9918.98*71.46%</f>
        <v>7088.1031079999984</v>
      </c>
      <c r="P17" s="434">
        <f>9918.98*18.75%</f>
        <v>1859.8087499999999</v>
      </c>
      <c r="Q17" s="434">
        <f>9918.98*9.79%</f>
        <v>971.06814199999985</v>
      </c>
      <c r="R17" s="402" t="s">
        <v>884</v>
      </c>
      <c r="S17" s="104" t="s">
        <v>7</v>
      </c>
      <c r="T17" s="104" t="s">
        <v>7</v>
      </c>
      <c r="U17" s="104" t="s">
        <v>7</v>
      </c>
      <c r="V17" s="770"/>
    </row>
    <row r="18" spans="1:22" ht="15">
      <c r="A18" s="254">
        <v>4</v>
      </c>
      <c r="B18" s="292" t="s">
        <v>150</v>
      </c>
      <c r="C18" s="434">
        <f>11398.22*71.46%</f>
        <v>8145.1680119999983</v>
      </c>
      <c r="D18" s="434">
        <f>11398.22*18.75%</f>
        <v>2137.1662499999998</v>
      </c>
      <c r="E18" s="434">
        <f>11398.22*9.79%</f>
        <v>1115.8857379999997</v>
      </c>
      <c r="F18" s="389" t="s">
        <v>897</v>
      </c>
      <c r="G18" s="434">
        <f>11398.22*71.46%</f>
        <v>8145.1680119999983</v>
      </c>
      <c r="H18" s="434">
        <f>11398.22*18.75%</f>
        <v>2137.1662499999998</v>
      </c>
      <c r="I18" s="434">
        <f>11398.22*9.79%</f>
        <v>1115.8857379999997</v>
      </c>
      <c r="J18" s="389" t="s">
        <v>818</v>
      </c>
      <c r="K18" s="434">
        <f>11398.22*71.46%</f>
        <v>8145.1680119999983</v>
      </c>
      <c r="L18" s="434">
        <f>11398.22*18.75%</f>
        <v>2137.1662499999998</v>
      </c>
      <c r="M18" s="434">
        <f>11398.22*9.79%</f>
        <v>1115.8857379999997</v>
      </c>
      <c r="N18" s="389" t="s">
        <v>820</v>
      </c>
      <c r="O18" s="434">
        <f>11398.22*71.46%</f>
        <v>8145.1680119999983</v>
      </c>
      <c r="P18" s="434">
        <f>11398.22*18.75%</f>
        <v>2137.1662499999998</v>
      </c>
      <c r="Q18" s="434">
        <f>11398.22*9.79%</f>
        <v>1115.8857379999997</v>
      </c>
      <c r="R18" s="575" t="s">
        <v>885</v>
      </c>
      <c r="S18" s="104" t="s">
        <v>7</v>
      </c>
      <c r="T18" s="104" t="s">
        <v>7</v>
      </c>
      <c r="U18" s="104" t="s">
        <v>7</v>
      </c>
      <c r="V18" s="770"/>
    </row>
    <row r="19" spans="1:22" ht="15">
      <c r="A19" s="387">
        <v>5</v>
      </c>
      <c r="B19" s="388" t="s">
        <v>669</v>
      </c>
      <c r="C19" s="272">
        <v>4363.62</v>
      </c>
      <c r="D19" s="272" t="s">
        <v>7</v>
      </c>
      <c r="E19" s="272" t="s">
        <v>7</v>
      </c>
      <c r="F19" s="389"/>
      <c r="G19" s="272">
        <v>4363.62</v>
      </c>
      <c r="H19" s="272" t="s">
        <v>7</v>
      </c>
      <c r="I19" s="272" t="s">
        <v>7</v>
      </c>
      <c r="J19" s="389"/>
      <c r="K19" s="272">
        <v>4363.62</v>
      </c>
      <c r="L19" s="272" t="s">
        <v>7</v>
      </c>
      <c r="M19" s="272" t="s">
        <v>7</v>
      </c>
      <c r="N19" s="389"/>
      <c r="O19" s="272">
        <v>4363.62</v>
      </c>
      <c r="P19" s="272" t="s">
        <v>7</v>
      </c>
      <c r="Q19" s="272" t="s">
        <v>7</v>
      </c>
      <c r="R19" s="389"/>
      <c r="S19" s="104"/>
      <c r="T19" s="104"/>
      <c r="U19" s="104"/>
      <c r="V19" s="770"/>
    </row>
    <row r="20" spans="1:22" ht="15">
      <c r="A20" s="766" t="s">
        <v>208</v>
      </c>
      <c r="B20" s="767"/>
      <c r="C20" s="271"/>
      <c r="D20" s="271"/>
      <c r="E20" s="271"/>
      <c r="F20" s="104"/>
      <c r="G20" s="273"/>
      <c r="H20" s="273"/>
      <c r="I20" s="273"/>
      <c r="J20" s="104"/>
      <c r="K20" s="273"/>
      <c r="L20" s="273"/>
      <c r="M20" s="273"/>
      <c r="N20" s="104"/>
      <c r="O20" s="273"/>
      <c r="P20" s="273"/>
      <c r="Q20" s="273"/>
      <c r="R20" s="104"/>
      <c r="S20" s="104" t="s">
        <v>7</v>
      </c>
      <c r="T20" s="104" t="s">
        <v>7</v>
      </c>
      <c r="U20" s="104" t="s">
        <v>7</v>
      </c>
      <c r="V20" s="770"/>
    </row>
    <row r="21" spans="1:22" ht="15">
      <c r="A21" s="100">
        <v>6</v>
      </c>
      <c r="B21" s="103" t="s">
        <v>196</v>
      </c>
      <c r="C21" s="271">
        <v>0</v>
      </c>
      <c r="D21" s="271">
        <v>0</v>
      </c>
      <c r="E21" s="271">
        <v>0</v>
      </c>
      <c r="F21" s="104" t="s">
        <v>7</v>
      </c>
      <c r="G21" s="271">
        <v>0</v>
      </c>
      <c r="H21" s="271">
        <v>0</v>
      </c>
      <c r="I21" s="271">
        <v>0</v>
      </c>
      <c r="J21" s="104" t="s">
        <v>7</v>
      </c>
      <c r="K21" s="271">
        <v>0</v>
      </c>
      <c r="L21" s="271">
        <v>0</v>
      </c>
      <c r="M21" s="271">
        <v>0</v>
      </c>
      <c r="N21" s="104" t="s">
        <v>7</v>
      </c>
      <c r="O21" s="271">
        <v>0</v>
      </c>
      <c r="P21" s="271">
        <v>0</v>
      </c>
      <c r="Q21" s="271">
        <v>0</v>
      </c>
      <c r="R21" s="104" t="s">
        <v>7</v>
      </c>
      <c r="S21" s="104" t="s">
        <v>7</v>
      </c>
      <c r="T21" s="104" t="s">
        <v>7</v>
      </c>
      <c r="U21" s="104" t="s">
        <v>7</v>
      </c>
      <c r="V21" s="770"/>
    </row>
    <row r="22" spans="1:22" ht="15">
      <c r="A22" s="100">
        <v>7</v>
      </c>
      <c r="B22" s="103" t="s">
        <v>128</v>
      </c>
      <c r="C22" s="271">
        <v>2376.3000000000002</v>
      </c>
      <c r="D22" s="271">
        <v>0</v>
      </c>
      <c r="E22" s="271">
        <v>0</v>
      </c>
      <c r="F22" s="104" t="s">
        <v>7</v>
      </c>
      <c r="G22" s="271">
        <v>2376.3000000000002</v>
      </c>
      <c r="H22" s="271">
        <v>0</v>
      </c>
      <c r="I22" s="271">
        <v>0</v>
      </c>
      <c r="J22" s="104" t="s">
        <v>7</v>
      </c>
      <c r="K22" s="271">
        <v>2376.3000000000002</v>
      </c>
      <c r="L22" s="271">
        <v>0</v>
      </c>
      <c r="M22" s="271">
        <v>0</v>
      </c>
      <c r="N22" s="104" t="s">
        <v>7</v>
      </c>
      <c r="O22" s="271">
        <v>0</v>
      </c>
      <c r="P22" s="271">
        <v>0</v>
      </c>
      <c r="Q22" s="271">
        <v>0</v>
      </c>
      <c r="R22" s="104" t="s">
        <v>7</v>
      </c>
      <c r="S22" s="104" t="s">
        <v>7</v>
      </c>
      <c r="T22" s="104" t="s">
        <v>7</v>
      </c>
      <c r="U22" s="104" t="s">
        <v>7</v>
      </c>
      <c r="V22" s="771"/>
    </row>
    <row r="25" spans="1:22" ht="14.25">
      <c r="A25" s="768" t="s">
        <v>161</v>
      </c>
      <c r="B25" s="768"/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  <c r="U25" s="768"/>
      <c r="V25" s="768"/>
    </row>
    <row r="26" spans="1:22" ht="14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14.25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</row>
    <row r="28" spans="1:22" ht="14.25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</row>
    <row r="29" spans="1:22" ht="14.25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</row>
    <row r="30" spans="1:2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3" spans="18:22" ht="15.75">
      <c r="R33" s="761" t="s">
        <v>908</v>
      </c>
      <c r="S33" s="761"/>
      <c r="T33" s="761"/>
      <c r="U33" s="761"/>
      <c r="V33" s="761"/>
    </row>
    <row r="34" spans="18:22" ht="15.75">
      <c r="R34" s="761" t="s">
        <v>646</v>
      </c>
      <c r="S34" s="761"/>
      <c r="T34" s="761"/>
      <c r="U34" s="761"/>
      <c r="V34" s="761"/>
    </row>
  </sheetData>
  <mergeCells count="31">
    <mergeCell ref="A2:V2"/>
    <mergeCell ref="A3:V3"/>
    <mergeCell ref="A14:B14"/>
    <mergeCell ref="A20:B20"/>
    <mergeCell ref="A25:V25"/>
    <mergeCell ref="V16:V22"/>
    <mergeCell ref="A8:A12"/>
    <mergeCell ref="B8:B12"/>
    <mergeCell ref="C8:E8"/>
    <mergeCell ref="F8:F12"/>
    <mergeCell ref="G8:N8"/>
    <mergeCell ref="G10:I11"/>
    <mergeCell ref="O9:R9"/>
    <mergeCell ref="K10:M11"/>
    <mergeCell ref="R10:R12"/>
    <mergeCell ref="B5:S5"/>
    <mergeCell ref="R34:V34"/>
    <mergeCell ref="R33:V33"/>
    <mergeCell ref="S9:V9"/>
    <mergeCell ref="J10:J12"/>
    <mergeCell ref="O10:Q11"/>
    <mergeCell ref="N10:N12"/>
    <mergeCell ref="U5:V5"/>
    <mergeCell ref="O8:V8"/>
    <mergeCell ref="C9:C12"/>
    <mergeCell ref="D9:D12"/>
    <mergeCell ref="E9:E12"/>
    <mergeCell ref="G9:J9"/>
    <mergeCell ref="V10:V12"/>
    <mergeCell ref="S10:U11"/>
    <mergeCell ref="K9:N9"/>
  </mergeCells>
  <printOptions horizontalCentered="1"/>
  <pageMargins left="0.24" right="0.26" top="0.61" bottom="0" header="0.31496062992125984" footer="0.31496062992125984"/>
  <pageSetup paperSize="9" scale="58" orientation="landscape" r:id="rId1"/>
  <colBreaks count="1" manualBreakCount="1">
    <brk id="22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view="pageBreakPreview" topLeftCell="A23" zoomScale="90" zoomScaleNormal="70" zoomScaleSheetLayoutView="90" workbookViewId="0">
      <selection activeCell="M29" sqref="M29"/>
    </sheetView>
  </sheetViews>
  <sheetFormatPr defaultColWidth="9.140625" defaultRowHeight="12.75"/>
  <cols>
    <col min="1" max="1" width="8.5703125" style="106" customWidth="1"/>
    <col min="2" max="2" width="24.5703125" style="106" customWidth="1"/>
    <col min="3" max="4" width="15.140625" style="106" customWidth="1"/>
    <col min="5" max="16" width="9.5703125" style="106" customWidth="1"/>
    <col min="17" max="16384" width="9.140625" style="106"/>
  </cols>
  <sheetData>
    <row r="1" spans="1:16">
      <c r="H1" s="955"/>
      <c r="I1" s="955"/>
      <c r="O1" s="107" t="s">
        <v>522</v>
      </c>
    </row>
    <row r="2" spans="1:16" ht="15.75">
      <c r="A2" s="839" t="s">
        <v>474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</row>
    <row r="3" spans="1:16" s="108" customFormat="1" ht="15.75">
      <c r="A3" s="956" t="s">
        <v>800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</row>
    <row r="4" spans="1:16" s="108" customFormat="1" ht="20.25" customHeight="1">
      <c r="A4" s="956" t="s">
        <v>811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</row>
    <row r="6" spans="1:16">
      <c r="A6" s="109" t="s">
        <v>658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8" spans="1:16" s="111" customFormat="1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924" t="s">
        <v>774</v>
      </c>
      <c r="O8" s="924"/>
      <c r="P8" s="924"/>
    </row>
    <row r="9" spans="1:16" s="111" customFormat="1" ht="20.25" customHeight="1">
      <c r="A9" s="795" t="s">
        <v>2</v>
      </c>
      <c r="B9" s="795" t="s">
        <v>3</v>
      </c>
      <c r="C9" s="958" t="s">
        <v>267</v>
      </c>
      <c r="D9" s="958" t="s">
        <v>268</v>
      </c>
      <c r="E9" s="960" t="s">
        <v>269</v>
      </c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</row>
    <row r="10" spans="1:16" s="111" customFormat="1" ht="35.25" customHeight="1">
      <c r="A10" s="957"/>
      <c r="B10" s="957"/>
      <c r="C10" s="959"/>
      <c r="D10" s="959"/>
      <c r="E10" s="135" t="s">
        <v>716</v>
      </c>
      <c r="F10" s="135" t="s">
        <v>270</v>
      </c>
      <c r="G10" s="135" t="s">
        <v>271</v>
      </c>
      <c r="H10" s="135" t="s">
        <v>272</v>
      </c>
      <c r="I10" s="135" t="s">
        <v>273</v>
      </c>
      <c r="J10" s="135" t="s">
        <v>274</v>
      </c>
      <c r="K10" s="135" t="s">
        <v>275</v>
      </c>
      <c r="L10" s="135" t="s">
        <v>276</v>
      </c>
      <c r="M10" s="135" t="s">
        <v>717</v>
      </c>
      <c r="N10" s="135" t="s">
        <v>718</v>
      </c>
      <c r="O10" s="135" t="s">
        <v>719</v>
      </c>
      <c r="P10" s="135" t="s">
        <v>720</v>
      </c>
    </row>
    <row r="11" spans="1:16" s="111" customFormat="1" ht="12.7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11</v>
      </c>
      <c r="O11" s="31">
        <v>12</v>
      </c>
      <c r="P11" s="31">
        <v>13</v>
      </c>
    </row>
    <row r="12" spans="1:16" s="111" customFormat="1" ht="12.75" customHeight="1">
      <c r="A12" s="204">
        <v>1</v>
      </c>
      <c r="B12" s="204" t="s">
        <v>624</v>
      </c>
      <c r="C12" s="398">
        <v>1163</v>
      </c>
      <c r="D12" s="398">
        <v>1138</v>
      </c>
      <c r="E12" s="301">
        <v>1138</v>
      </c>
      <c r="F12" s="301">
        <v>1138</v>
      </c>
      <c r="G12" s="301">
        <v>1138</v>
      </c>
      <c r="H12" s="301">
        <v>1138</v>
      </c>
      <c r="I12" s="301">
        <v>1138</v>
      </c>
      <c r="J12" s="301">
        <v>1138</v>
      </c>
      <c r="K12" s="301">
        <v>1138</v>
      </c>
      <c r="L12" s="301">
        <v>1138</v>
      </c>
      <c r="M12" s="301">
        <v>1138</v>
      </c>
      <c r="N12" s="301">
        <v>1138</v>
      </c>
      <c r="O12" s="301">
        <v>1138</v>
      </c>
      <c r="P12" s="301">
        <v>1138</v>
      </c>
    </row>
    <row r="13" spans="1:16" s="111" customFormat="1" ht="12.75" customHeight="1">
      <c r="A13" s="204">
        <f>A12+1</f>
        <v>2</v>
      </c>
      <c r="B13" s="204" t="s">
        <v>589</v>
      </c>
      <c r="C13" s="398">
        <v>1322</v>
      </c>
      <c r="D13" s="580">
        <v>1322</v>
      </c>
      <c r="E13" s="581">
        <v>1322</v>
      </c>
      <c r="F13" s="581">
        <v>1322</v>
      </c>
      <c r="G13" s="581">
        <v>1322</v>
      </c>
      <c r="H13" s="581">
        <v>1322</v>
      </c>
      <c r="I13" s="581">
        <v>1322</v>
      </c>
      <c r="J13" s="581">
        <v>1322</v>
      </c>
      <c r="K13" s="581">
        <v>1322</v>
      </c>
      <c r="L13" s="581">
        <v>1322</v>
      </c>
      <c r="M13" s="581">
        <v>1322</v>
      </c>
      <c r="N13" s="581">
        <v>1322</v>
      </c>
      <c r="O13" s="581">
        <v>1322</v>
      </c>
      <c r="P13" s="581">
        <v>1322</v>
      </c>
    </row>
    <row r="14" spans="1:16" s="111" customFormat="1" ht="12.75" customHeight="1">
      <c r="A14" s="204">
        <f t="shared" ref="A14:A44" si="0">A13+1</f>
        <v>3</v>
      </c>
      <c r="B14" s="204" t="s">
        <v>625</v>
      </c>
      <c r="C14" s="398">
        <v>959</v>
      </c>
      <c r="D14" s="580">
        <v>853</v>
      </c>
      <c r="E14" s="581">
        <v>853</v>
      </c>
      <c r="F14" s="581">
        <v>853</v>
      </c>
      <c r="G14" s="581">
        <v>853</v>
      </c>
      <c r="H14" s="581">
        <v>853</v>
      </c>
      <c r="I14" s="581">
        <v>853</v>
      </c>
      <c r="J14" s="581">
        <v>853</v>
      </c>
      <c r="K14" s="581">
        <v>853</v>
      </c>
      <c r="L14" s="581">
        <v>853</v>
      </c>
      <c r="M14" s="581">
        <v>853</v>
      </c>
      <c r="N14" s="581">
        <v>853</v>
      </c>
      <c r="O14" s="581">
        <v>853</v>
      </c>
      <c r="P14" s="581">
        <v>853</v>
      </c>
    </row>
    <row r="15" spans="1:16" s="111" customFormat="1" ht="12.75" customHeight="1">
      <c r="A15" s="204">
        <f t="shared" si="0"/>
        <v>4</v>
      </c>
      <c r="B15" s="204" t="s">
        <v>590</v>
      </c>
      <c r="C15" s="398">
        <v>801</v>
      </c>
      <c r="D15" s="580">
        <v>801</v>
      </c>
      <c r="E15" s="581">
        <v>801</v>
      </c>
      <c r="F15" s="581">
        <v>801</v>
      </c>
      <c r="G15" s="581">
        <v>801</v>
      </c>
      <c r="H15" s="581">
        <v>801</v>
      </c>
      <c r="I15" s="581">
        <v>801</v>
      </c>
      <c r="J15" s="581">
        <v>801</v>
      </c>
      <c r="K15" s="581">
        <v>801</v>
      </c>
      <c r="L15" s="581">
        <v>801</v>
      </c>
      <c r="M15" s="581">
        <v>801</v>
      </c>
      <c r="N15" s="581">
        <v>801</v>
      </c>
      <c r="O15" s="581">
        <v>801</v>
      </c>
      <c r="P15" s="581">
        <v>801</v>
      </c>
    </row>
    <row r="16" spans="1:16" s="111" customFormat="1" ht="12.75" customHeight="1">
      <c r="A16" s="204">
        <f t="shared" si="0"/>
        <v>5</v>
      </c>
      <c r="B16" s="204" t="s">
        <v>591</v>
      </c>
      <c r="C16" s="398">
        <v>554</v>
      </c>
      <c r="D16" s="580">
        <v>544</v>
      </c>
      <c r="E16" s="581">
        <v>539</v>
      </c>
      <c r="F16" s="581">
        <v>539</v>
      </c>
      <c r="G16" s="581">
        <v>539</v>
      </c>
      <c r="H16" s="581">
        <v>539</v>
      </c>
      <c r="I16" s="581">
        <v>539</v>
      </c>
      <c r="J16" s="581">
        <v>539</v>
      </c>
      <c r="K16" s="581">
        <v>539</v>
      </c>
      <c r="L16" s="581">
        <v>539</v>
      </c>
      <c r="M16" s="581">
        <v>539</v>
      </c>
      <c r="N16" s="581">
        <v>539</v>
      </c>
      <c r="O16" s="581">
        <v>539</v>
      </c>
      <c r="P16" s="581">
        <v>539</v>
      </c>
    </row>
    <row r="17" spans="1:17" s="111" customFormat="1" ht="12.75" customHeight="1">
      <c r="A17" s="204">
        <f t="shared" si="0"/>
        <v>6</v>
      </c>
      <c r="B17" s="204" t="s">
        <v>592</v>
      </c>
      <c r="C17" s="398">
        <v>439</v>
      </c>
      <c r="D17" s="580">
        <v>434</v>
      </c>
      <c r="E17" s="581">
        <v>433</v>
      </c>
      <c r="F17" s="581">
        <v>433</v>
      </c>
      <c r="G17" s="581">
        <v>433</v>
      </c>
      <c r="H17" s="581">
        <v>433</v>
      </c>
      <c r="I17" s="581">
        <v>433</v>
      </c>
      <c r="J17" s="581">
        <v>433</v>
      </c>
      <c r="K17" s="581">
        <v>433</v>
      </c>
      <c r="L17" s="581">
        <v>433</v>
      </c>
      <c r="M17" s="581">
        <v>433</v>
      </c>
      <c r="N17" s="581">
        <v>433</v>
      </c>
      <c r="O17" s="581">
        <v>433</v>
      </c>
      <c r="P17" s="581">
        <v>432</v>
      </c>
    </row>
    <row r="18" spans="1:17" s="111" customFormat="1" ht="12.75" customHeight="1">
      <c r="A18" s="204">
        <f t="shared" si="0"/>
        <v>7</v>
      </c>
      <c r="B18" s="204" t="s">
        <v>593</v>
      </c>
      <c r="C18" s="398">
        <v>464</v>
      </c>
      <c r="D18" s="580">
        <v>464</v>
      </c>
      <c r="E18" s="581">
        <v>462</v>
      </c>
      <c r="F18" s="581">
        <v>462</v>
      </c>
      <c r="G18" s="581">
        <v>462</v>
      </c>
      <c r="H18" s="581">
        <v>462</v>
      </c>
      <c r="I18" s="581">
        <v>462</v>
      </c>
      <c r="J18" s="581">
        <v>462</v>
      </c>
      <c r="K18" s="581">
        <v>462</v>
      </c>
      <c r="L18" s="581">
        <v>462</v>
      </c>
      <c r="M18" s="581">
        <v>462</v>
      </c>
      <c r="N18" s="581">
        <v>462</v>
      </c>
      <c r="O18" s="581">
        <v>462</v>
      </c>
      <c r="P18" s="581">
        <v>462</v>
      </c>
    </row>
    <row r="19" spans="1:17" s="111" customFormat="1" ht="12.75" customHeight="1">
      <c r="A19" s="204">
        <f t="shared" si="0"/>
        <v>8</v>
      </c>
      <c r="B19" s="204" t="s">
        <v>594</v>
      </c>
      <c r="C19" s="398">
        <v>1028</v>
      </c>
      <c r="D19" s="580">
        <v>1015</v>
      </c>
      <c r="E19" s="581">
        <v>1015</v>
      </c>
      <c r="F19" s="581">
        <v>1015</v>
      </c>
      <c r="G19" s="581">
        <v>1015</v>
      </c>
      <c r="H19" s="581">
        <v>1015</v>
      </c>
      <c r="I19" s="581">
        <v>1015</v>
      </c>
      <c r="J19" s="581">
        <v>1015</v>
      </c>
      <c r="K19" s="581">
        <v>1015</v>
      </c>
      <c r="L19" s="581">
        <v>1015</v>
      </c>
      <c r="M19" s="581">
        <v>1015</v>
      </c>
      <c r="N19" s="581">
        <v>1015</v>
      </c>
      <c r="O19" s="581">
        <v>1015</v>
      </c>
      <c r="P19" s="581">
        <v>1014</v>
      </c>
    </row>
    <row r="20" spans="1:17" s="111" customFormat="1" ht="12.75" customHeight="1">
      <c r="A20" s="204">
        <f t="shared" si="0"/>
        <v>9</v>
      </c>
      <c r="B20" s="204" t="s">
        <v>595</v>
      </c>
      <c r="C20" s="398">
        <v>668</v>
      </c>
      <c r="D20" s="580">
        <v>656</v>
      </c>
      <c r="E20" s="581">
        <v>656</v>
      </c>
      <c r="F20" s="581">
        <v>656</v>
      </c>
      <c r="G20" s="581">
        <v>656</v>
      </c>
      <c r="H20" s="581">
        <v>656</v>
      </c>
      <c r="I20" s="581">
        <v>656</v>
      </c>
      <c r="J20" s="581">
        <v>656</v>
      </c>
      <c r="K20" s="581">
        <v>656</v>
      </c>
      <c r="L20" s="581">
        <v>656</v>
      </c>
      <c r="M20" s="581">
        <v>656</v>
      </c>
      <c r="N20" s="581">
        <v>656</v>
      </c>
      <c r="O20" s="581">
        <v>656</v>
      </c>
      <c r="P20" s="581">
        <v>656</v>
      </c>
    </row>
    <row r="21" spans="1:17" s="111" customFormat="1" ht="12.75" customHeight="1">
      <c r="A21" s="204">
        <f t="shared" si="0"/>
        <v>10</v>
      </c>
      <c r="B21" s="204" t="s">
        <v>596</v>
      </c>
      <c r="C21" s="398">
        <v>1256</v>
      </c>
      <c r="D21" s="580">
        <v>1256</v>
      </c>
      <c r="E21" s="581">
        <v>1256</v>
      </c>
      <c r="F21" s="581">
        <v>1256</v>
      </c>
      <c r="G21" s="581">
        <v>1256</v>
      </c>
      <c r="H21" s="581">
        <v>1256</v>
      </c>
      <c r="I21" s="581">
        <v>1256</v>
      </c>
      <c r="J21" s="581">
        <v>1256</v>
      </c>
      <c r="K21" s="581">
        <v>1256</v>
      </c>
      <c r="L21" s="581">
        <v>1256</v>
      </c>
      <c r="M21" s="581">
        <v>1256</v>
      </c>
      <c r="N21" s="581">
        <v>1256</v>
      </c>
      <c r="O21" s="581">
        <v>1238</v>
      </c>
      <c r="P21" s="581">
        <v>1235</v>
      </c>
    </row>
    <row r="22" spans="1:17" s="111" customFormat="1" ht="12.75" customHeight="1">
      <c r="A22" s="204">
        <f t="shared" si="0"/>
        <v>11</v>
      </c>
      <c r="B22" s="204" t="s">
        <v>626</v>
      </c>
      <c r="C22" s="398">
        <v>1032</v>
      </c>
      <c r="D22" s="580">
        <v>1028</v>
      </c>
      <c r="E22" s="581">
        <v>1005</v>
      </c>
      <c r="F22" s="581">
        <v>1005</v>
      </c>
      <c r="G22" s="581">
        <v>1005</v>
      </c>
      <c r="H22" s="581">
        <v>1005</v>
      </c>
      <c r="I22" s="581">
        <v>1005</v>
      </c>
      <c r="J22" s="581">
        <v>1005</v>
      </c>
      <c r="K22" s="581">
        <v>1005</v>
      </c>
      <c r="L22" s="581">
        <v>1005</v>
      </c>
      <c r="M22" s="581">
        <v>1005</v>
      </c>
      <c r="N22" s="581">
        <v>1000</v>
      </c>
      <c r="O22" s="581">
        <v>999</v>
      </c>
      <c r="P22" s="581">
        <v>994</v>
      </c>
    </row>
    <row r="23" spans="1:17" s="111" customFormat="1" ht="12.75" customHeight="1">
      <c r="A23" s="204">
        <f t="shared" si="0"/>
        <v>12</v>
      </c>
      <c r="B23" s="204" t="s">
        <v>597</v>
      </c>
      <c r="C23" s="398">
        <v>999</v>
      </c>
      <c r="D23" s="580">
        <v>925</v>
      </c>
      <c r="E23" s="581">
        <v>924</v>
      </c>
      <c r="F23" s="581">
        <v>924</v>
      </c>
      <c r="G23" s="581">
        <v>924</v>
      </c>
      <c r="H23" s="581">
        <v>924</v>
      </c>
      <c r="I23" s="581">
        <v>924</v>
      </c>
      <c r="J23" s="581">
        <v>924</v>
      </c>
      <c r="K23" s="581">
        <v>924</v>
      </c>
      <c r="L23" s="581">
        <v>924</v>
      </c>
      <c r="M23" s="581">
        <v>924</v>
      </c>
      <c r="N23" s="581">
        <v>923</v>
      </c>
      <c r="O23" s="581">
        <v>902</v>
      </c>
      <c r="P23" s="581">
        <v>900</v>
      </c>
    </row>
    <row r="24" spans="1:17" s="111" customFormat="1" ht="12.75" customHeight="1">
      <c r="A24" s="204">
        <f t="shared" si="0"/>
        <v>13</v>
      </c>
      <c r="B24" s="204" t="s">
        <v>598</v>
      </c>
      <c r="C24" s="398">
        <v>891</v>
      </c>
      <c r="D24" s="580">
        <v>848</v>
      </c>
      <c r="E24" s="581">
        <v>848</v>
      </c>
      <c r="F24" s="581">
        <v>848</v>
      </c>
      <c r="G24" s="581">
        <v>848</v>
      </c>
      <c r="H24" s="581">
        <v>848</v>
      </c>
      <c r="I24" s="581">
        <v>848</v>
      </c>
      <c r="J24" s="581">
        <v>848</v>
      </c>
      <c r="K24" s="581">
        <v>848</v>
      </c>
      <c r="L24" s="581">
        <v>848</v>
      </c>
      <c r="M24" s="581">
        <v>848</v>
      </c>
      <c r="N24" s="581">
        <v>848</v>
      </c>
      <c r="O24" s="581">
        <v>848</v>
      </c>
      <c r="P24" s="581">
        <v>848</v>
      </c>
    </row>
    <row r="25" spans="1:17" s="111" customFormat="1" ht="12.75" customHeight="1">
      <c r="A25" s="204">
        <f t="shared" si="0"/>
        <v>14</v>
      </c>
      <c r="B25" s="204" t="s">
        <v>627</v>
      </c>
      <c r="C25" s="398">
        <v>784</v>
      </c>
      <c r="D25" s="580">
        <v>768</v>
      </c>
      <c r="E25" s="581">
        <v>767</v>
      </c>
      <c r="F25" s="581">
        <v>767</v>
      </c>
      <c r="G25" s="581">
        <v>767</v>
      </c>
      <c r="H25" s="581">
        <v>767</v>
      </c>
      <c r="I25" s="581">
        <v>767</v>
      </c>
      <c r="J25" s="581">
        <v>767</v>
      </c>
      <c r="K25" s="581">
        <v>767</v>
      </c>
      <c r="L25" s="581">
        <v>767</v>
      </c>
      <c r="M25" s="581">
        <v>767</v>
      </c>
      <c r="N25" s="581">
        <v>767</v>
      </c>
      <c r="O25" s="581">
        <v>767</v>
      </c>
      <c r="P25" s="581">
        <v>767</v>
      </c>
    </row>
    <row r="26" spans="1:17" s="111" customFormat="1" ht="12.75" customHeight="1">
      <c r="A26" s="204">
        <f t="shared" si="0"/>
        <v>15</v>
      </c>
      <c r="B26" s="204" t="s">
        <v>599</v>
      </c>
      <c r="C26" s="398">
        <v>909</v>
      </c>
      <c r="D26" s="580">
        <v>894</v>
      </c>
      <c r="E26" s="581">
        <v>894</v>
      </c>
      <c r="F26" s="581">
        <v>894</v>
      </c>
      <c r="G26" s="581">
        <v>894</v>
      </c>
      <c r="H26" s="581">
        <v>894</v>
      </c>
      <c r="I26" s="581">
        <v>894</v>
      </c>
      <c r="J26" s="581">
        <v>894</v>
      </c>
      <c r="K26" s="581">
        <v>894</v>
      </c>
      <c r="L26" s="581">
        <v>894</v>
      </c>
      <c r="M26" s="581">
        <v>894</v>
      </c>
      <c r="N26" s="581">
        <v>894</v>
      </c>
      <c r="O26" s="581">
        <v>894</v>
      </c>
      <c r="P26" s="581">
        <v>892</v>
      </c>
    </row>
    <row r="27" spans="1:17" s="111" customFormat="1" ht="12.75" customHeight="1">
      <c r="A27" s="204">
        <f t="shared" si="0"/>
        <v>16</v>
      </c>
      <c r="B27" s="204" t="s">
        <v>600</v>
      </c>
      <c r="C27" s="398">
        <v>518</v>
      </c>
      <c r="D27" s="580">
        <v>518</v>
      </c>
      <c r="E27" s="581">
        <v>518</v>
      </c>
      <c r="F27" s="581">
        <v>518</v>
      </c>
      <c r="G27" s="581">
        <v>518</v>
      </c>
      <c r="H27" s="581">
        <v>518</v>
      </c>
      <c r="I27" s="581">
        <v>518</v>
      </c>
      <c r="J27" s="581">
        <v>518</v>
      </c>
      <c r="K27" s="581">
        <v>518</v>
      </c>
      <c r="L27" s="581">
        <v>518</v>
      </c>
      <c r="M27" s="581">
        <v>518</v>
      </c>
      <c r="N27" s="581">
        <v>518</v>
      </c>
      <c r="O27" s="581">
        <v>518</v>
      </c>
      <c r="P27" s="581">
        <v>518</v>
      </c>
    </row>
    <row r="28" spans="1:17" s="111" customFormat="1" ht="12.75" customHeight="1">
      <c r="A28" s="204">
        <f t="shared" si="0"/>
        <v>17</v>
      </c>
      <c r="B28" s="529" t="s">
        <v>684</v>
      </c>
      <c r="C28" s="398">
        <v>433</v>
      </c>
      <c r="D28" s="580">
        <v>433</v>
      </c>
      <c r="E28" s="581">
        <v>433</v>
      </c>
      <c r="F28" s="581">
        <v>433</v>
      </c>
      <c r="G28" s="581">
        <v>433</v>
      </c>
      <c r="H28" s="581">
        <v>433</v>
      </c>
      <c r="I28" s="581">
        <v>433</v>
      </c>
      <c r="J28" s="581">
        <v>433</v>
      </c>
      <c r="K28" s="581">
        <v>433</v>
      </c>
      <c r="L28" s="581">
        <v>433</v>
      </c>
      <c r="M28" s="581">
        <v>433</v>
      </c>
      <c r="N28" s="581">
        <v>433</v>
      </c>
      <c r="O28" s="581">
        <v>433</v>
      </c>
      <c r="P28" s="581">
        <v>433</v>
      </c>
    </row>
    <row r="29" spans="1:17">
      <c r="A29" s="204">
        <f t="shared" si="0"/>
        <v>18</v>
      </c>
      <c r="B29" s="204" t="s">
        <v>601</v>
      </c>
      <c r="C29" s="369">
        <v>870</v>
      </c>
      <c r="D29" s="580">
        <v>859</v>
      </c>
      <c r="E29" s="582">
        <v>857</v>
      </c>
      <c r="F29" s="582">
        <v>857</v>
      </c>
      <c r="G29" s="582">
        <v>857</v>
      </c>
      <c r="H29" s="582">
        <v>857</v>
      </c>
      <c r="I29" s="582">
        <v>857</v>
      </c>
      <c r="J29" s="582">
        <v>857</v>
      </c>
      <c r="K29" s="582">
        <v>856</v>
      </c>
      <c r="L29" s="582">
        <v>856</v>
      </c>
      <c r="M29" s="582">
        <v>856</v>
      </c>
      <c r="N29" s="582">
        <v>843</v>
      </c>
      <c r="O29" s="582">
        <v>793</v>
      </c>
      <c r="P29" s="582">
        <v>792</v>
      </c>
      <c r="Q29" s="111"/>
    </row>
    <row r="30" spans="1:17">
      <c r="A30" s="204">
        <f t="shared" si="0"/>
        <v>19</v>
      </c>
      <c r="B30" s="204" t="s">
        <v>602</v>
      </c>
      <c r="C30" s="369">
        <v>1557</v>
      </c>
      <c r="D30" s="580">
        <v>1450</v>
      </c>
      <c r="E30" s="582">
        <v>1450</v>
      </c>
      <c r="F30" s="582">
        <v>1450</v>
      </c>
      <c r="G30" s="582">
        <v>1450</v>
      </c>
      <c r="H30" s="582">
        <v>1450</v>
      </c>
      <c r="I30" s="582">
        <v>1450</v>
      </c>
      <c r="J30" s="582">
        <v>1450</v>
      </c>
      <c r="K30" s="582">
        <v>1450</v>
      </c>
      <c r="L30" s="582">
        <v>1450</v>
      </c>
      <c r="M30" s="582">
        <v>1450</v>
      </c>
      <c r="N30" s="582">
        <v>1450</v>
      </c>
      <c r="O30" s="582">
        <v>1450</v>
      </c>
      <c r="P30" s="582">
        <v>1450</v>
      </c>
      <c r="Q30" s="111"/>
    </row>
    <row r="31" spans="1:17">
      <c r="A31" s="204">
        <f t="shared" si="0"/>
        <v>20</v>
      </c>
      <c r="B31" s="529" t="s">
        <v>683</v>
      </c>
      <c r="C31" s="369">
        <v>513</v>
      </c>
      <c r="D31" s="580">
        <v>492</v>
      </c>
      <c r="E31" s="582">
        <v>492</v>
      </c>
      <c r="F31" s="582">
        <v>492</v>
      </c>
      <c r="G31" s="582">
        <v>492</v>
      </c>
      <c r="H31" s="582">
        <v>492</v>
      </c>
      <c r="I31" s="582">
        <v>492</v>
      </c>
      <c r="J31" s="582">
        <v>492</v>
      </c>
      <c r="K31" s="582">
        <v>492</v>
      </c>
      <c r="L31" s="582">
        <v>492</v>
      </c>
      <c r="M31" s="582">
        <v>492</v>
      </c>
      <c r="N31" s="582">
        <v>492</v>
      </c>
      <c r="O31" s="582">
        <v>492</v>
      </c>
      <c r="P31" s="582">
        <v>492</v>
      </c>
      <c r="Q31" s="111"/>
    </row>
    <row r="32" spans="1:17">
      <c r="A32" s="204">
        <f t="shared" si="0"/>
        <v>21</v>
      </c>
      <c r="B32" s="529" t="s">
        <v>628</v>
      </c>
      <c r="C32" s="369">
        <v>782</v>
      </c>
      <c r="D32" s="580">
        <v>772</v>
      </c>
      <c r="E32" s="582">
        <v>770</v>
      </c>
      <c r="F32" s="582">
        <v>770</v>
      </c>
      <c r="G32" s="582">
        <v>770</v>
      </c>
      <c r="H32" s="582">
        <v>770</v>
      </c>
      <c r="I32" s="582">
        <v>770</v>
      </c>
      <c r="J32" s="582">
        <v>770</v>
      </c>
      <c r="K32" s="582">
        <v>770</v>
      </c>
      <c r="L32" s="582">
        <v>770</v>
      </c>
      <c r="M32" s="582">
        <v>770</v>
      </c>
      <c r="N32" s="582">
        <v>770</v>
      </c>
      <c r="O32" s="582">
        <v>770</v>
      </c>
      <c r="P32" s="582">
        <v>770</v>
      </c>
      <c r="Q32" s="111"/>
    </row>
    <row r="33" spans="1:17" s="65" customFormat="1" ht="12.75" customHeight="1">
      <c r="A33" s="204">
        <f t="shared" si="0"/>
        <v>22</v>
      </c>
      <c r="B33" s="204" t="s">
        <v>603</v>
      </c>
      <c r="C33" s="369">
        <v>1214</v>
      </c>
      <c r="D33" s="580">
        <v>1186</v>
      </c>
      <c r="E33" s="582">
        <v>1186</v>
      </c>
      <c r="F33" s="582">
        <v>1186</v>
      </c>
      <c r="G33" s="582">
        <v>1186</v>
      </c>
      <c r="H33" s="582">
        <v>1186</v>
      </c>
      <c r="I33" s="582">
        <v>1186</v>
      </c>
      <c r="J33" s="582">
        <v>1186</v>
      </c>
      <c r="K33" s="582">
        <v>1186</v>
      </c>
      <c r="L33" s="582">
        <v>1186</v>
      </c>
      <c r="M33" s="582">
        <v>1186</v>
      </c>
      <c r="N33" s="582">
        <v>1186</v>
      </c>
      <c r="O33" s="582">
        <v>1186</v>
      </c>
      <c r="P33" s="582">
        <v>1186</v>
      </c>
      <c r="Q33" s="111"/>
    </row>
    <row r="34" spans="1:17" s="65" customFormat="1" ht="12.75" customHeight="1">
      <c r="A34" s="204">
        <f t="shared" si="0"/>
        <v>23</v>
      </c>
      <c r="B34" s="204" t="s">
        <v>604</v>
      </c>
      <c r="C34" s="370">
        <v>559</v>
      </c>
      <c r="D34" s="580">
        <v>559</v>
      </c>
      <c r="E34" s="583">
        <v>559</v>
      </c>
      <c r="F34" s="583">
        <v>559</v>
      </c>
      <c r="G34" s="583">
        <v>559</v>
      </c>
      <c r="H34" s="583">
        <v>559</v>
      </c>
      <c r="I34" s="583">
        <v>559</v>
      </c>
      <c r="J34" s="582">
        <v>559</v>
      </c>
      <c r="K34" s="582">
        <v>559</v>
      </c>
      <c r="L34" s="582">
        <v>559</v>
      </c>
      <c r="M34" s="582">
        <v>559</v>
      </c>
      <c r="N34" s="582">
        <v>559</v>
      </c>
      <c r="O34" s="582">
        <v>559</v>
      </c>
      <c r="P34" s="582">
        <v>559</v>
      </c>
      <c r="Q34" s="111"/>
    </row>
    <row r="35" spans="1:17" s="65" customFormat="1" ht="13.15" customHeight="1">
      <c r="A35" s="204">
        <f t="shared" si="0"/>
        <v>24</v>
      </c>
      <c r="B35" s="204" t="s">
        <v>605</v>
      </c>
      <c r="C35" s="370">
        <v>500</v>
      </c>
      <c r="D35" s="580">
        <v>499</v>
      </c>
      <c r="E35" s="583">
        <v>499</v>
      </c>
      <c r="F35" s="583">
        <v>499</v>
      </c>
      <c r="G35" s="583">
        <v>499</v>
      </c>
      <c r="H35" s="583">
        <v>499</v>
      </c>
      <c r="I35" s="583">
        <v>499</v>
      </c>
      <c r="J35" s="582">
        <v>499</v>
      </c>
      <c r="K35" s="582">
        <v>499</v>
      </c>
      <c r="L35" s="582">
        <v>499</v>
      </c>
      <c r="M35" s="582">
        <v>499</v>
      </c>
      <c r="N35" s="582">
        <v>499</v>
      </c>
      <c r="O35" s="582">
        <v>499</v>
      </c>
      <c r="P35" s="582">
        <v>499</v>
      </c>
      <c r="Q35" s="111"/>
    </row>
    <row r="36" spans="1:17" ht="12.75" customHeight="1">
      <c r="A36" s="204">
        <f t="shared" si="0"/>
        <v>25</v>
      </c>
      <c r="B36" s="204" t="s">
        <v>606</v>
      </c>
      <c r="C36" s="369">
        <v>1354</v>
      </c>
      <c r="D36" s="580">
        <v>1272</v>
      </c>
      <c r="E36" s="582">
        <v>1272</v>
      </c>
      <c r="F36" s="582">
        <v>1272</v>
      </c>
      <c r="G36" s="582">
        <v>1272</v>
      </c>
      <c r="H36" s="582">
        <v>1272</v>
      </c>
      <c r="I36" s="582">
        <v>1272</v>
      </c>
      <c r="J36" s="582">
        <v>1272</v>
      </c>
      <c r="K36" s="582">
        <v>1272</v>
      </c>
      <c r="L36" s="582">
        <v>1272</v>
      </c>
      <c r="M36" s="582">
        <v>1272</v>
      </c>
      <c r="N36" s="582">
        <v>1272</v>
      </c>
      <c r="O36" s="582">
        <v>1272</v>
      </c>
      <c r="P36" s="582">
        <v>1272</v>
      </c>
      <c r="Q36" s="111"/>
    </row>
    <row r="37" spans="1:17">
      <c r="A37" s="204">
        <f t="shared" si="0"/>
        <v>26</v>
      </c>
      <c r="B37" s="204" t="s">
        <v>607</v>
      </c>
      <c r="C37" s="369">
        <v>1286</v>
      </c>
      <c r="D37" s="580">
        <v>1280</v>
      </c>
      <c r="E37" s="582">
        <v>1280</v>
      </c>
      <c r="F37" s="582">
        <v>1280</v>
      </c>
      <c r="G37" s="582">
        <v>1280</v>
      </c>
      <c r="H37" s="582">
        <v>1280</v>
      </c>
      <c r="I37" s="582">
        <v>1280</v>
      </c>
      <c r="J37" s="582">
        <v>1280</v>
      </c>
      <c r="K37" s="582">
        <v>1280</v>
      </c>
      <c r="L37" s="582">
        <v>1280</v>
      </c>
      <c r="M37" s="582">
        <v>1280</v>
      </c>
      <c r="N37" s="582">
        <v>1280</v>
      </c>
      <c r="O37" s="582">
        <v>1280</v>
      </c>
      <c r="P37" s="582">
        <v>1280</v>
      </c>
      <c r="Q37" s="111"/>
    </row>
    <row r="38" spans="1:17">
      <c r="A38" s="204">
        <f t="shared" si="0"/>
        <v>27</v>
      </c>
      <c r="B38" s="204" t="s">
        <v>608</v>
      </c>
      <c r="C38" s="369">
        <v>994</v>
      </c>
      <c r="D38" s="580">
        <v>994</v>
      </c>
      <c r="E38" s="582">
        <v>994</v>
      </c>
      <c r="F38" s="582">
        <v>994</v>
      </c>
      <c r="G38" s="582">
        <v>994</v>
      </c>
      <c r="H38" s="582">
        <v>994</v>
      </c>
      <c r="I38" s="582">
        <v>994</v>
      </c>
      <c r="J38" s="582">
        <v>994</v>
      </c>
      <c r="K38" s="582">
        <v>994</v>
      </c>
      <c r="L38" s="582">
        <v>994</v>
      </c>
      <c r="M38" s="582">
        <v>994</v>
      </c>
      <c r="N38" s="582">
        <v>994</v>
      </c>
      <c r="O38" s="582">
        <v>994</v>
      </c>
      <c r="P38" s="582">
        <v>994</v>
      </c>
      <c r="Q38" s="111"/>
    </row>
    <row r="39" spans="1:17">
      <c r="A39" s="204">
        <f t="shared" si="0"/>
        <v>28</v>
      </c>
      <c r="B39" s="204" t="s">
        <v>609</v>
      </c>
      <c r="C39" s="369">
        <v>980</v>
      </c>
      <c r="D39" s="580">
        <v>980</v>
      </c>
      <c r="E39" s="582">
        <v>980</v>
      </c>
      <c r="F39" s="582">
        <v>980</v>
      </c>
      <c r="G39" s="582">
        <v>980</v>
      </c>
      <c r="H39" s="582">
        <v>980</v>
      </c>
      <c r="I39" s="582">
        <v>980</v>
      </c>
      <c r="J39" s="582">
        <v>980</v>
      </c>
      <c r="K39" s="582">
        <v>980</v>
      </c>
      <c r="L39" s="582">
        <v>980</v>
      </c>
      <c r="M39" s="582">
        <v>980</v>
      </c>
      <c r="N39" s="582">
        <v>980</v>
      </c>
      <c r="O39" s="582">
        <v>980</v>
      </c>
      <c r="P39" s="582">
        <v>980</v>
      </c>
      <c r="Q39" s="111"/>
    </row>
    <row r="40" spans="1:17">
      <c r="A40" s="204">
        <f t="shared" si="0"/>
        <v>29</v>
      </c>
      <c r="B40" s="204" t="s">
        <v>610</v>
      </c>
      <c r="C40" s="369">
        <v>1057</v>
      </c>
      <c r="D40" s="580">
        <v>1055</v>
      </c>
      <c r="E40" s="582">
        <v>1054</v>
      </c>
      <c r="F40" s="582">
        <v>1054</v>
      </c>
      <c r="G40" s="582">
        <v>1054</v>
      </c>
      <c r="H40" s="582">
        <v>1054</v>
      </c>
      <c r="I40" s="582">
        <v>1054</v>
      </c>
      <c r="J40" s="582">
        <v>1054</v>
      </c>
      <c r="K40" s="582">
        <v>1054</v>
      </c>
      <c r="L40" s="582">
        <v>1054</v>
      </c>
      <c r="M40" s="582">
        <v>1054</v>
      </c>
      <c r="N40" s="582">
        <v>1054</v>
      </c>
      <c r="O40" s="582">
        <v>1054</v>
      </c>
      <c r="P40" s="582">
        <v>1054</v>
      </c>
      <c r="Q40" s="111"/>
    </row>
    <row r="41" spans="1:17">
      <c r="A41" s="204">
        <f t="shared" si="0"/>
        <v>30</v>
      </c>
      <c r="B41" s="502" t="s">
        <v>611</v>
      </c>
      <c r="C41" s="369">
        <v>524</v>
      </c>
      <c r="D41" s="580">
        <v>523</v>
      </c>
      <c r="E41" s="582">
        <v>523</v>
      </c>
      <c r="F41" s="582">
        <v>523</v>
      </c>
      <c r="G41" s="582">
        <v>523</v>
      </c>
      <c r="H41" s="582">
        <v>523</v>
      </c>
      <c r="I41" s="582">
        <v>523</v>
      </c>
      <c r="J41" s="582">
        <v>523</v>
      </c>
      <c r="K41" s="582">
        <v>523</v>
      </c>
      <c r="L41" s="582">
        <v>523</v>
      </c>
      <c r="M41" s="582">
        <v>523</v>
      </c>
      <c r="N41" s="582">
        <v>523</v>
      </c>
      <c r="O41" s="582">
        <v>523</v>
      </c>
      <c r="P41" s="582">
        <v>523</v>
      </c>
      <c r="Q41" s="111"/>
    </row>
    <row r="42" spans="1:17">
      <c r="A42" s="204">
        <f t="shared" si="0"/>
        <v>31</v>
      </c>
      <c r="B42" s="502" t="s">
        <v>612</v>
      </c>
      <c r="C42" s="369">
        <v>680</v>
      </c>
      <c r="D42" s="580">
        <v>680</v>
      </c>
      <c r="E42" s="582">
        <v>680</v>
      </c>
      <c r="F42" s="582">
        <v>680</v>
      </c>
      <c r="G42" s="582">
        <v>680</v>
      </c>
      <c r="H42" s="582">
        <v>680</v>
      </c>
      <c r="I42" s="582">
        <v>680</v>
      </c>
      <c r="J42" s="582">
        <v>680</v>
      </c>
      <c r="K42" s="582">
        <v>680</v>
      </c>
      <c r="L42" s="582">
        <v>680</v>
      </c>
      <c r="M42" s="582">
        <v>680</v>
      </c>
      <c r="N42" s="582">
        <v>680</v>
      </c>
      <c r="O42" s="582">
        <v>680</v>
      </c>
      <c r="P42" s="582">
        <v>680</v>
      </c>
      <c r="Q42" s="111"/>
    </row>
    <row r="43" spans="1:17">
      <c r="A43" s="204">
        <f t="shared" si="0"/>
        <v>32</v>
      </c>
      <c r="B43" s="502" t="s">
        <v>613</v>
      </c>
      <c r="C43" s="369">
        <v>543</v>
      </c>
      <c r="D43" s="580">
        <v>507</v>
      </c>
      <c r="E43" s="582">
        <v>507</v>
      </c>
      <c r="F43" s="582">
        <v>507</v>
      </c>
      <c r="G43" s="582">
        <v>507</v>
      </c>
      <c r="H43" s="582">
        <v>507</v>
      </c>
      <c r="I43" s="582">
        <v>507</v>
      </c>
      <c r="J43" s="582">
        <v>507</v>
      </c>
      <c r="K43" s="582">
        <v>507</v>
      </c>
      <c r="L43" s="582">
        <v>507</v>
      </c>
      <c r="M43" s="582">
        <v>507</v>
      </c>
      <c r="N43" s="582">
        <v>507</v>
      </c>
      <c r="O43" s="582">
        <v>507</v>
      </c>
      <c r="P43" s="582">
        <v>507</v>
      </c>
      <c r="Q43" s="111"/>
    </row>
    <row r="44" spans="1:17">
      <c r="A44" s="204">
        <f t="shared" si="0"/>
        <v>33</v>
      </c>
      <c r="B44" s="502" t="s">
        <v>614</v>
      </c>
      <c r="C44" s="369">
        <v>700</v>
      </c>
      <c r="D44" s="580">
        <v>700</v>
      </c>
      <c r="E44" s="582">
        <v>700</v>
      </c>
      <c r="F44" s="582">
        <v>700</v>
      </c>
      <c r="G44" s="582">
        <v>700</v>
      </c>
      <c r="H44" s="582">
        <v>700</v>
      </c>
      <c r="I44" s="582">
        <v>700</v>
      </c>
      <c r="J44" s="582">
        <v>700</v>
      </c>
      <c r="K44" s="582">
        <v>700</v>
      </c>
      <c r="L44" s="582">
        <v>700</v>
      </c>
      <c r="M44" s="582">
        <v>700</v>
      </c>
      <c r="N44" s="582">
        <v>700</v>
      </c>
      <c r="O44" s="582">
        <v>700</v>
      </c>
      <c r="P44" s="582">
        <v>700</v>
      </c>
      <c r="Q44" s="111"/>
    </row>
    <row r="45" spans="1:17">
      <c r="A45" s="385" t="s">
        <v>16</v>
      </c>
      <c r="B45" s="385"/>
      <c r="C45" s="67">
        <f>SUM(C12:C44)</f>
        <v>28333</v>
      </c>
      <c r="D45" s="67">
        <f t="shared" ref="D45:P45" si="1">SUM(D12:D44)</f>
        <v>27705</v>
      </c>
      <c r="E45" s="67">
        <f t="shared" si="1"/>
        <v>27667</v>
      </c>
      <c r="F45" s="67">
        <f t="shared" si="1"/>
        <v>27667</v>
      </c>
      <c r="G45" s="67">
        <f t="shared" si="1"/>
        <v>27667</v>
      </c>
      <c r="H45" s="67">
        <f t="shared" si="1"/>
        <v>27667</v>
      </c>
      <c r="I45" s="67">
        <f t="shared" si="1"/>
        <v>27667</v>
      </c>
      <c r="J45" s="67">
        <f t="shared" si="1"/>
        <v>27667</v>
      </c>
      <c r="K45" s="67">
        <f t="shared" si="1"/>
        <v>27666</v>
      </c>
      <c r="L45" s="67">
        <f t="shared" si="1"/>
        <v>27666</v>
      </c>
      <c r="M45" s="67">
        <f t="shared" si="1"/>
        <v>27666</v>
      </c>
      <c r="N45" s="67">
        <f t="shared" si="1"/>
        <v>27647</v>
      </c>
      <c r="O45" s="67">
        <f t="shared" si="1"/>
        <v>27557</v>
      </c>
      <c r="P45" s="67">
        <f t="shared" si="1"/>
        <v>27542</v>
      </c>
    </row>
    <row r="50" spans="9:16" ht="14.25">
      <c r="I50" s="732" t="s">
        <v>908</v>
      </c>
      <c r="J50" s="732"/>
      <c r="K50" s="732"/>
      <c r="L50" s="732"/>
      <c r="M50" s="732"/>
      <c r="N50" s="732"/>
      <c r="O50" s="732"/>
      <c r="P50" s="732"/>
    </row>
    <row r="51" spans="9:16" ht="14.25">
      <c r="I51" s="732" t="s">
        <v>646</v>
      </c>
      <c r="J51" s="732"/>
      <c r="K51" s="732"/>
      <c r="L51" s="732"/>
      <c r="M51" s="732"/>
      <c r="N51" s="732"/>
      <c r="O51" s="732"/>
      <c r="P51" s="732"/>
    </row>
  </sheetData>
  <mergeCells count="12">
    <mergeCell ref="I50:P50"/>
    <mergeCell ref="I51:P51"/>
    <mergeCell ref="H1:I1"/>
    <mergeCell ref="A3:P3"/>
    <mergeCell ref="A4:P4"/>
    <mergeCell ref="N8:P8"/>
    <mergeCell ref="A9:A10"/>
    <mergeCell ref="B9:B10"/>
    <mergeCell ref="C9:C10"/>
    <mergeCell ref="D9:D10"/>
    <mergeCell ref="E9:P9"/>
    <mergeCell ref="A2:P2"/>
  </mergeCells>
  <printOptions horizontalCentered="1"/>
  <pageMargins left="0.38" right="0.44" top="0.48" bottom="0" header="0.31496062992125984" footer="0.31496062992125984"/>
  <pageSetup paperSize="9" scale="7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view="pageBreakPreview" topLeftCell="A45" zoomScale="90" zoomScaleNormal="70" zoomScaleSheetLayoutView="90" workbookViewId="0">
      <selection activeCell="M60" sqref="M60"/>
    </sheetView>
  </sheetViews>
  <sheetFormatPr defaultColWidth="9.140625" defaultRowHeight="12.75"/>
  <cols>
    <col min="1" max="1" width="8.5703125" style="106" customWidth="1"/>
    <col min="2" max="2" width="17.85546875" style="106" customWidth="1"/>
    <col min="3" max="3" width="11.140625" style="106" customWidth="1"/>
    <col min="4" max="4" width="17.140625" style="106" customWidth="1"/>
    <col min="5" max="6" width="9.140625" style="106" customWidth="1"/>
    <col min="7" max="7" width="7.85546875" style="106" customWidth="1"/>
    <col min="8" max="8" width="8.42578125" style="106" customWidth="1"/>
    <col min="9" max="9" width="9.28515625" style="106" customWidth="1"/>
    <col min="10" max="13" width="10.28515625" style="106" customWidth="1"/>
    <col min="14" max="16384" width="9.140625" style="106"/>
  </cols>
  <sheetData>
    <row r="1" spans="1:13">
      <c r="H1" s="955"/>
      <c r="I1" s="955"/>
      <c r="L1" s="961" t="s">
        <v>542</v>
      </c>
      <c r="M1" s="961"/>
    </row>
    <row r="2" spans="1:13" ht="15.75">
      <c r="A2" s="839" t="s">
        <v>548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</row>
    <row r="3" spans="1:13" s="108" customFormat="1" ht="15.75">
      <c r="A3" s="956" t="s">
        <v>800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</row>
    <row r="4" spans="1:13" s="108" customFormat="1" ht="20.25" customHeight="1">
      <c r="A4" s="956" t="s">
        <v>812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</row>
    <row r="6" spans="1:13">
      <c r="A6" s="109" t="s">
        <v>658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8" spans="1:13">
      <c r="A8" s="963" t="s">
        <v>721</v>
      </c>
      <c r="B8" s="963"/>
      <c r="C8" s="963"/>
      <c r="D8" s="963"/>
      <c r="E8" s="963"/>
      <c r="F8" s="963"/>
      <c r="G8" s="466"/>
      <c r="H8" s="110"/>
      <c r="I8" s="110"/>
      <c r="J8" s="110"/>
    </row>
    <row r="9" spans="1:13">
      <c r="A9" s="963" t="s">
        <v>722</v>
      </c>
      <c r="B9" s="963"/>
      <c r="C9" s="963"/>
      <c r="D9" s="963"/>
      <c r="E9" s="963"/>
      <c r="F9" s="963"/>
      <c r="G9" s="466"/>
      <c r="H9" s="110"/>
      <c r="I9" s="110"/>
      <c r="J9" s="110"/>
    </row>
    <row r="11" spans="1:13" s="111" customFormat="1" ht="15" customHeight="1">
      <c r="A11" s="106"/>
      <c r="B11" s="106"/>
      <c r="C11" s="106"/>
      <c r="D11" s="106"/>
      <c r="E11" s="106"/>
      <c r="F11" s="106"/>
      <c r="H11" s="536"/>
      <c r="I11" s="536"/>
      <c r="J11" s="536"/>
      <c r="K11" s="536"/>
      <c r="L11" s="536"/>
      <c r="M11" s="536" t="s">
        <v>772</v>
      </c>
    </row>
    <row r="12" spans="1:13" s="111" customFormat="1" ht="20.25" customHeight="1">
      <c r="A12" s="795" t="s">
        <v>2</v>
      </c>
      <c r="B12" s="795" t="s">
        <v>3</v>
      </c>
      <c r="C12" s="958" t="s">
        <v>267</v>
      </c>
      <c r="D12" s="958" t="s">
        <v>541</v>
      </c>
      <c r="E12" s="962" t="s">
        <v>567</v>
      </c>
      <c r="F12" s="962"/>
      <c r="G12" s="962"/>
      <c r="H12" s="962"/>
      <c r="I12" s="962"/>
      <c r="J12" s="962"/>
      <c r="K12" s="962"/>
      <c r="L12" s="962"/>
      <c r="M12" s="962"/>
    </row>
    <row r="13" spans="1:13" s="111" customFormat="1" ht="35.25" customHeight="1">
      <c r="A13" s="957"/>
      <c r="B13" s="957"/>
      <c r="C13" s="959"/>
      <c r="D13" s="959"/>
      <c r="E13" s="135" t="s">
        <v>824</v>
      </c>
      <c r="F13" s="135" t="s">
        <v>270</v>
      </c>
      <c r="G13" s="135" t="s">
        <v>271</v>
      </c>
      <c r="H13" s="135" t="s">
        <v>272</v>
      </c>
      <c r="I13" s="135" t="s">
        <v>273</v>
      </c>
      <c r="J13" s="135" t="s">
        <v>274</v>
      </c>
      <c r="K13" s="135" t="s">
        <v>275</v>
      </c>
      <c r="L13" s="135" t="s">
        <v>276</v>
      </c>
      <c r="M13" s="135" t="s">
        <v>823</v>
      </c>
    </row>
    <row r="14" spans="1:13" s="111" customFormat="1" ht="12.75" customHeigh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</row>
    <row r="15" spans="1:13" s="111" customFormat="1" ht="12.75" customHeight="1">
      <c r="A15" s="204">
        <v>1</v>
      </c>
      <c r="B15" s="204" t="s">
        <v>624</v>
      </c>
      <c r="C15" s="249">
        <v>1163</v>
      </c>
      <c r="D15" s="249">
        <v>1163</v>
      </c>
      <c r="E15" s="249">
        <v>1026</v>
      </c>
      <c r="F15" s="249">
        <v>0</v>
      </c>
      <c r="G15" s="249">
        <v>1026</v>
      </c>
      <c r="H15" s="249">
        <v>1086</v>
      </c>
      <c r="I15" s="249">
        <v>1086</v>
      </c>
      <c r="J15" s="249">
        <v>1080</v>
      </c>
      <c r="K15" s="249">
        <v>1052</v>
      </c>
      <c r="L15" s="249">
        <v>1086</v>
      </c>
      <c r="M15" s="249">
        <v>1086</v>
      </c>
    </row>
    <row r="16" spans="1:13" s="111" customFormat="1" ht="12.75" customHeight="1">
      <c r="A16" s="204">
        <f>A15+1</f>
        <v>2</v>
      </c>
      <c r="B16" s="204" t="s">
        <v>589</v>
      </c>
      <c r="C16" s="249">
        <v>1322</v>
      </c>
      <c r="D16" s="249">
        <v>1225</v>
      </c>
      <c r="E16" s="249">
        <v>1210</v>
      </c>
      <c r="F16" s="249">
        <v>0</v>
      </c>
      <c r="G16" s="249">
        <v>1210</v>
      </c>
      <c r="H16" s="249">
        <v>1210</v>
      </c>
      <c r="I16" s="249">
        <v>1211</v>
      </c>
      <c r="J16" s="249">
        <v>1210</v>
      </c>
      <c r="K16" s="249">
        <v>1211</v>
      </c>
      <c r="L16" s="249">
        <v>1211</v>
      </c>
      <c r="M16" s="249">
        <v>1211</v>
      </c>
    </row>
    <row r="17" spans="1:14" s="111" customFormat="1" ht="12.75" customHeight="1">
      <c r="A17" s="204">
        <f t="shared" ref="A17:A47" si="0">A16+1</f>
        <v>3</v>
      </c>
      <c r="B17" s="204" t="s">
        <v>625</v>
      </c>
      <c r="C17" s="249">
        <v>959</v>
      </c>
      <c r="D17" s="249">
        <v>898</v>
      </c>
      <c r="E17" s="249">
        <v>889</v>
      </c>
      <c r="F17" s="249">
        <v>0</v>
      </c>
      <c r="G17" s="249">
        <v>889</v>
      </c>
      <c r="H17" s="249">
        <v>889</v>
      </c>
      <c r="I17" s="249">
        <v>889</v>
      </c>
      <c r="J17" s="249">
        <v>889</v>
      </c>
      <c r="K17" s="249">
        <v>835</v>
      </c>
      <c r="L17" s="249">
        <v>888</v>
      </c>
      <c r="M17" s="249">
        <v>888</v>
      </c>
    </row>
    <row r="18" spans="1:14" s="111" customFormat="1" ht="12.75" customHeight="1">
      <c r="A18" s="204">
        <f t="shared" si="0"/>
        <v>4</v>
      </c>
      <c r="B18" s="204" t="s">
        <v>590</v>
      </c>
      <c r="C18" s="249">
        <v>801</v>
      </c>
      <c r="D18" s="249">
        <v>801</v>
      </c>
      <c r="E18" s="249">
        <v>588</v>
      </c>
      <c r="F18" s="249">
        <v>0</v>
      </c>
      <c r="G18" s="249">
        <v>575</v>
      </c>
      <c r="H18" s="249">
        <v>772</v>
      </c>
      <c r="I18" s="249">
        <v>770</v>
      </c>
      <c r="J18" s="249">
        <v>698</v>
      </c>
      <c r="K18" s="249">
        <v>631</v>
      </c>
      <c r="L18" s="249">
        <v>796</v>
      </c>
      <c r="M18" s="249">
        <v>771</v>
      </c>
    </row>
    <row r="19" spans="1:14" s="111" customFormat="1" ht="12.75" customHeight="1">
      <c r="A19" s="204">
        <f t="shared" si="0"/>
        <v>5</v>
      </c>
      <c r="B19" s="204" t="s">
        <v>591</v>
      </c>
      <c r="C19" s="249">
        <v>554</v>
      </c>
      <c r="D19" s="249">
        <v>519</v>
      </c>
      <c r="E19" s="249">
        <v>518</v>
      </c>
      <c r="F19" s="249">
        <v>0</v>
      </c>
      <c r="G19" s="249">
        <v>518</v>
      </c>
      <c r="H19" s="249">
        <v>518</v>
      </c>
      <c r="I19" s="249">
        <v>518</v>
      </c>
      <c r="J19" s="249">
        <v>518</v>
      </c>
      <c r="K19" s="249">
        <v>513</v>
      </c>
      <c r="L19" s="249">
        <v>518</v>
      </c>
      <c r="M19" s="249">
        <v>518</v>
      </c>
    </row>
    <row r="20" spans="1:14" s="111" customFormat="1" ht="12.75" customHeight="1">
      <c r="A20" s="204">
        <f t="shared" si="0"/>
        <v>6</v>
      </c>
      <c r="B20" s="204" t="s">
        <v>592</v>
      </c>
      <c r="C20" s="249">
        <v>439</v>
      </c>
      <c r="D20" s="249">
        <v>424</v>
      </c>
      <c r="E20" s="249">
        <v>347</v>
      </c>
      <c r="F20" s="249">
        <v>0</v>
      </c>
      <c r="G20" s="249">
        <v>282</v>
      </c>
      <c r="H20" s="249">
        <v>401</v>
      </c>
      <c r="I20" s="249">
        <v>404</v>
      </c>
      <c r="J20" s="249">
        <v>389</v>
      </c>
      <c r="K20" s="249">
        <v>371</v>
      </c>
      <c r="L20" s="249">
        <v>417</v>
      </c>
      <c r="M20" s="249">
        <v>417</v>
      </c>
    </row>
    <row r="21" spans="1:14" s="111" customFormat="1" ht="12.75" customHeight="1">
      <c r="A21" s="204">
        <f t="shared" si="0"/>
        <v>7</v>
      </c>
      <c r="B21" s="204" t="s">
        <v>593</v>
      </c>
      <c r="C21" s="249">
        <v>464</v>
      </c>
      <c r="D21" s="249">
        <v>462</v>
      </c>
      <c r="E21" s="249">
        <v>461</v>
      </c>
      <c r="F21" s="249">
        <v>0</v>
      </c>
      <c r="G21" s="249">
        <v>446</v>
      </c>
      <c r="H21" s="249">
        <v>461</v>
      </c>
      <c r="I21" s="249">
        <v>461</v>
      </c>
      <c r="J21" s="249">
        <v>461</v>
      </c>
      <c r="K21" s="249">
        <v>434</v>
      </c>
      <c r="L21" s="249">
        <v>461</v>
      </c>
      <c r="M21" s="249">
        <v>461</v>
      </c>
    </row>
    <row r="22" spans="1:14" s="111" customFormat="1" ht="12.75" customHeight="1">
      <c r="A22" s="204">
        <f t="shared" si="0"/>
        <v>8</v>
      </c>
      <c r="B22" s="204" t="s">
        <v>594</v>
      </c>
      <c r="C22" s="249">
        <v>1028</v>
      </c>
      <c r="D22" s="249">
        <v>1015</v>
      </c>
      <c r="E22" s="249">
        <v>703</v>
      </c>
      <c r="F22" s="249">
        <v>0</v>
      </c>
      <c r="G22" s="249">
        <v>841</v>
      </c>
      <c r="H22" s="249">
        <v>1015</v>
      </c>
      <c r="I22" s="249">
        <v>1015</v>
      </c>
      <c r="J22" s="249">
        <v>871</v>
      </c>
      <c r="K22" s="249">
        <v>906</v>
      </c>
      <c r="L22" s="249">
        <v>913</v>
      </c>
      <c r="M22" s="249">
        <v>998</v>
      </c>
    </row>
    <row r="23" spans="1:14" s="111" customFormat="1" ht="12.75" customHeight="1">
      <c r="A23" s="204">
        <f t="shared" si="0"/>
        <v>9</v>
      </c>
      <c r="B23" s="204" t="s">
        <v>595</v>
      </c>
      <c r="C23" s="249">
        <v>668</v>
      </c>
      <c r="D23" s="249">
        <v>668</v>
      </c>
      <c r="E23" s="249">
        <v>454</v>
      </c>
      <c r="F23" s="249">
        <v>0</v>
      </c>
      <c r="G23" s="249">
        <v>634</v>
      </c>
      <c r="H23" s="249">
        <v>636</v>
      </c>
      <c r="I23" s="249">
        <v>636</v>
      </c>
      <c r="J23" s="249">
        <v>596</v>
      </c>
      <c r="K23" s="249">
        <v>544</v>
      </c>
      <c r="L23" s="249">
        <v>604</v>
      </c>
      <c r="M23" s="249">
        <v>604</v>
      </c>
    </row>
    <row r="24" spans="1:14" s="111" customFormat="1" ht="12.75" customHeight="1">
      <c r="A24" s="204">
        <f t="shared" si="0"/>
        <v>10</v>
      </c>
      <c r="B24" s="204" t="s">
        <v>596</v>
      </c>
      <c r="C24" s="249">
        <v>1256</v>
      </c>
      <c r="D24" s="249">
        <v>1252</v>
      </c>
      <c r="E24" s="249">
        <v>1241</v>
      </c>
      <c r="F24" s="249">
        <v>0</v>
      </c>
      <c r="G24" s="249">
        <v>1241</v>
      </c>
      <c r="H24" s="249">
        <v>1241</v>
      </c>
      <c r="I24" s="249">
        <v>1241</v>
      </c>
      <c r="J24" s="249">
        <v>1241</v>
      </c>
      <c r="K24" s="249">
        <v>1162</v>
      </c>
      <c r="L24" s="249">
        <v>1241</v>
      </c>
      <c r="M24" s="249">
        <v>1241</v>
      </c>
    </row>
    <row r="25" spans="1:14" s="111" customFormat="1" ht="12.75" customHeight="1">
      <c r="A25" s="204">
        <f t="shared" si="0"/>
        <v>11</v>
      </c>
      <c r="B25" s="204" t="s">
        <v>626</v>
      </c>
      <c r="C25" s="249">
        <v>1032</v>
      </c>
      <c r="D25" s="249">
        <v>885</v>
      </c>
      <c r="E25" s="249">
        <v>631</v>
      </c>
      <c r="F25" s="249">
        <v>0</v>
      </c>
      <c r="G25" s="249">
        <v>616</v>
      </c>
      <c r="H25" s="249">
        <v>871</v>
      </c>
      <c r="I25" s="249">
        <v>885</v>
      </c>
      <c r="J25" s="249">
        <v>871</v>
      </c>
      <c r="K25" s="249">
        <v>746</v>
      </c>
      <c r="L25" s="249">
        <v>885</v>
      </c>
      <c r="M25" s="249">
        <v>885</v>
      </c>
    </row>
    <row r="26" spans="1:14" s="111" customFormat="1" ht="12.75" customHeight="1">
      <c r="A26" s="204">
        <f t="shared" si="0"/>
        <v>12</v>
      </c>
      <c r="B26" s="204" t="s">
        <v>597</v>
      </c>
      <c r="C26" s="249">
        <v>999</v>
      </c>
      <c r="D26" s="249">
        <v>942</v>
      </c>
      <c r="E26" s="249">
        <v>941</v>
      </c>
      <c r="F26" s="249">
        <v>0</v>
      </c>
      <c r="G26" s="249">
        <v>941</v>
      </c>
      <c r="H26" s="249">
        <v>941</v>
      </c>
      <c r="I26" s="249">
        <v>941</v>
      </c>
      <c r="J26" s="249">
        <v>941</v>
      </c>
      <c r="K26" s="249">
        <v>941</v>
      </c>
      <c r="L26" s="249">
        <v>941</v>
      </c>
      <c r="M26" s="249">
        <v>941</v>
      </c>
    </row>
    <row r="27" spans="1:14" s="111" customFormat="1" ht="12.75" customHeight="1">
      <c r="A27" s="204">
        <f t="shared" si="0"/>
        <v>13</v>
      </c>
      <c r="B27" s="204" t="s">
        <v>598</v>
      </c>
      <c r="C27" s="249">
        <v>891</v>
      </c>
      <c r="D27" s="249">
        <v>880</v>
      </c>
      <c r="E27" s="249">
        <v>822</v>
      </c>
      <c r="F27" s="249">
        <v>0</v>
      </c>
      <c r="G27" s="249">
        <v>818</v>
      </c>
      <c r="H27" s="249">
        <v>822</v>
      </c>
      <c r="I27" s="249">
        <v>810</v>
      </c>
      <c r="J27" s="249">
        <v>798</v>
      </c>
      <c r="K27" s="249">
        <v>777</v>
      </c>
      <c r="L27" s="249">
        <v>857</v>
      </c>
      <c r="M27" s="249">
        <v>857</v>
      </c>
    </row>
    <row r="28" spans="1:14" s="111" customFormat="1" ht="12.75" customHeight="1">
      <c r="A28" s="204">
        <f t="shared" si="0"/>
        <v>14</v>
      </c>
      <c r="B28" s="204" t="s">
        <v>627</v>
      </c>
      <c r="C28" s="249">
        <v>784</v>
      </c>
      <c r="D28" s="249">
        <v>690</v>
      </c>
      <c r="E28" s="249">
        <v>359</v>
      </c>
      <c r="F28" s="249">
        <v>0</v>
      </c>
      <c r="G28" s="249">
        <v>651</v>
      </c>
      <c r="H28" s="249">
        <v>651</v>
      </c>
      <c r="I28" s="249">
        <v>689</v>
      </c>
      <c r="J28" s="249">
        <v>689</v>
      </c>
      <c r="K28" s="249">
        <v>636</v>
      </c>
      <c r="L28" s="249">
        <v>689</v>
      </c>
      <c r="M28" s="249">
        <v>664</v>
      </c>
    </row>
    <row r="29" spans="1:14" s="111" customFormat="1" ht="12.75" customHeight="1">
      <c r="A29" s="204">
        <f t="shared" si="0"/>
        <v>15</v>
      </c>
      <c r="B29" s="204" t="s">
        <v>599</v>
      </c>
      <c r="C29" s="249">
        <v>909</v>
      </c>
      <c r="D29" s="249">
        <v>905</v>
      </c>
      <c r="E29" s="249">
        <v>534</v>
      </c>
      <c r="F29" s="249">
        <v>0</v>
      </c>
      <c r="G29" s="249">
        <v>855</v>
      </c>
      <c r="H29" s="249">
        <v>867</v>
      </c>
      <c r="I29" s="249">
        <v>793</v>
      </c>
      <c r="J29" s="249">
        <v>903</v>
      </c>
      <c r="K29" s="249">
        <v>880</v>
      </c>
      <c r="L29" s="249">
        <v>891</v>
      </c>
      <c r="M29" s="249">
        <v>891</v>
      </c>
    </row>
    <row r="30" spans="1:14" s="111" customFormat="1" ht="12.75" customHeight="1">
      <c r="A30" s="204">
        <f t="shared" si="0"/>
        <v>16</v>
      </c>
      <c r="B30" s="204" t="s">
        <v>600</v>
      </c>
      <c r="C30" s="249">
        <v>518</v>
      </c>
      <c r="D30" s="249">
        <v>500</v>
      </c>
      <c r="E30" s="249">
        <v>322</v>
      </c>
      <c r="F30" s="249">
        <v>0</v>
      </c>
      <c r="G30" s="249">
        <v>390</v>
      </c>
      <c r="H30" s="249">
        <v>418</v>
      </c>
      <c r="I30" s="249">
        <v>464</v>
      </c>
      <c r="J30" s="249">
        <v>431</v>
      </c>
      <c r="K30" s="249">
        <v>439</v>
      </c>
      <c r="L30" s="249">
        <v>500</v>
      </c>
      <c r="M30" s="249">
        <v>500</v>
      </c>
    </row>
    <row r="31" spans="1:14" s="111" customFormat="1" ht="12.75" customHeight="1">
      <c r="A31" s="204">
        <f t="shared" si="0"/>
        <v>17</v>
      </c>
      <c r="B31" s="529" t="s">
        <v>684</v>
      </c>
      <c r="C31" s="249">
        <v>433</v>
      </c>
      <c r="D31" s="249">
        <v>424</v>
      </c>
      <c r="E31" s="249">
        <v>395</v>
      </c>
      <c r="F31" s="249">
        <v>0</v>
      </c>
      <c r="G31" s="249">
        <v>391</v>
      </c>
      <c r="H31" s="249">
        <v>417</v>
      </c>
      <c r="I31" s="249">
        <v>422</v>
      </c>
      <c r="J31" s="249">
        <v>417</v>
      </c>
      <c r="K31" s="249">
        <v>402</v>
      </c>
      <c r="L31" s="249">
        <v>423</v>
      </c>
      <c r="M31" s="249">
        <v>423</v>
      </c>
    </row>
    <row r="32" spans="1:14">
      <c r="A32" s="204">
        <f t="shared" si="0"/>
        <v>18</v>
      </c>
      <c r="B32" s="204" t="s">
        <v>601</v>
      </c>
      <c r="C32" s="250">
        <v>870</v>
      </c>
      <c r="D32" s="250">
        <v>837</v>
      </c>
      <c r="E32" s="249">
        <v>658</v>
      </c>
      <c r="F32" s="249">
        <v>0</v>
      </c>
      <c r="G32" s="250">
        <v>762</v>
      </c>
      <c r="H32" s="250">
        <v>760</v>
      </c>
      <c r="I32" s="250">
        <v>747</v>
      </c>
      <c r="J32" s="250">
        <v>692</v>
      </c>
      <c r="K32" s="250">
        <v>631</v>
      </c>
      <c r="L32" s="250">
        <v>798</v>
      </c>
      <c r="M32" s="250">
        <v>837</v>
      </c>
      <c r="N32" s="111"/>
    </row>
    <row r="33" spans="1:14">
      <c r="A33" s="204">
        <f t="shared" si="0"/>
        <v>19</v>
      </c>
      <c r="B33" s="204" t="s">
        <v>602</v>
      </c>
      <c r="C33" s="250">
        <v>1557</v>
      </c>
      <c r="D33" s="250">
        <v>1511</v>
      </c>
      <c r="E33" s="249">
        <v>1447</v>
      </c>
      <c r="F33" s="249">
        <v>0</v>
      </c>
      <c r="G33" s="250">
        <v>1418</v>
      </c>
      <c r="H33" s="250">
        <v>1446</v>
      </c>
      <c r="I33" s="250">
        <v>1422</v>
      </c>
      <c r="J33" s="250">
        <v>1330</v>
      </c>
      <c r="K33" s="250">
        <v>1166</v>
      </c>
      <c r="L33" s="250">
        <v>1315</v>
      </c>
      <c r="M33" s="250">
        <v>1478</v>
      </c>
      <c r="N33" s="111"/>
    </row>
    <row r="34" spans="1:14">
      <c r="A34" s="204">
        <f t="shared" si="0"/>
        <v>20</v>
      </c>
      <c r="B34" s="529" t="s">
        <v>683</v>
      </c>
      <c r="C34" s="250">
        <v>513</v>
      </c>
      <c r="D34" s="250">
        <v>512</v>
      </c>
      <c r="E34" s="249">
        <v>486</v>
      </c>
      <c r="F34" s="249">
        <v>0</v>
      </c>
      <c r="G34" s="250">
        <v>427</v>
      </c>
      <c r="H34" s="250">
        <v>508</v>
      </c>
      <c r="I34" s="250">
        <v>508</v>
      </c>
      <c r="J34" s="250">
        <v>508</v>
      </c>
      <c r="K34" s="250">
        <v>508</v>
      </c>
      <c r="L34" s="250">
        <v>508</v>
      </c>
      <c r="M34" s="250">
        <v>508</v>
      </c>
      <c r="N34" s="111"/>
    </row>
    <row r="35" spans="1:14">
      <c r="A35" s="204">
        <f t="shared" si="0"/>
        <v>21</v>
      </c>
      <c r="B35" s="529" t="s">
        <v>628</v>
      </c>
      <c r="C35" s="250">
        <v>782</v>
      </c>
      <c r="D35" s="250">
        <v>740</v>
      </c>
      <c r="E35" s="249">
        <v>697</v>
      </c>
      <c r="F35" s="249">
        <v>0</v>
      </c>
      <c r="G35" s="250">
        <v>662</v>
      </c>
      <c r="H35" s="250">
        <v>652</v>
      </c>
      <c r="I35" s="250">
        <v>631</v>
      </c>
      <c r="J35" s="250">
        <v>617</v>
      </c>
      <c r="K35" s="250">
        <v>697</v>
      </c>
      <c r="L35" s="250">
        <v>697</v>
      </c>
      <c r="M35" s="250">
        <v>697</v>
      </c>
      <c r="N35" s="111"/>
    </row>
    <row r="36" spans="1:14" s="65" customFormat="1" ht="12.75" customHeight="1">
      <c r="A36" s="204">
        <f t="shared" si="0"/>
        <v>22</v>
      </c>
      <c r="B36" s="204" t="s">
        <v>603</v>
      </c>
      <c r="C36" s="250">
        <v>1214</v>
      </c>
      <c r="D36" s="250">
        <v>1195</v>
      </c>
      <c r="E36" s="249">
        <v>813</v>
      </c>
      <c r="F36" s="249">
        <v>0</v>
      </c>
      <c r="G36" s="250">
        <v>947</v>
      </c>
      <c r="H36" s="250">
        <v>1194</v>
      </c>
      <c r="I36" s="250">
        <v>947</v>
      </c>
      <c r="J36" s="250">
        <v>1198</v>
      </c>
      <c r="K36" s="250">
        <v>921</v>
      </c>
      <c r="L36" s="250">
        <v>1198</v>
      </c>
      <c r="M36" s="250">
        <v>1181</v>
      </c>
      <c r="N36" s="111"/>
    </row>
    <row r="37" spans="1:14" s="65" customFormat="1" ht="12.75" customHeight="1">
      <c r="A37" s="204">
        <f t="shared" si="0"/>
        <v>23</v>
      </c>
      <c r="B37" s="204" t="s">
        <v>604</v>
      </c>
      <c r="C37" s="251">
        <v>559</v>
      </c>
      <c r="D37" s="251">
        <v>544</v>
      </c>
      <c r="E37" s="249">
        <v>426</v>
      </c>
      <c r="F37" s="249">
        <v>0</v>
      </c>
      <c r="G37" s="251">
        <v>387</v>
      </c>
      <c r="H37" s="251">
        <v>429</v>
      </c>
      <c r="I37" s="251">
        <v>483</v>
      </c>
      <c r="J37" s="250">
        <v>447</v>
      </c>
      <c r="K37" s="250">
        <v>437</v>
      </c>
      <c r="L37" s="250">
        <v>531</v>
      </c>
      <c r="M37" s="250">
        <v>503</v>
      </c>
      <c r="N37" s="111"/>
    </row>
    <row r="38" spans="1:14" s="65" customFormat="1" ht="13.15" customHeight="1">
      <c r="A38" s="204">
        <f t="shared" si="0"/>
        <v>24</v>
      </c>
      <c r="B38" s="204" t="s">
        <v>605</v>
      </c>
      <c r="C38" s="251">
        <v>500</v>
      </c>
      <c r="D38" s="251">
        <v>498</v>
      </c>
      <c r="E38" s="249">
        <v>435</v>
      </c>
      <c r="F38" s="249">
        <v>0</v>
      </c>
      <c r="G38" s="251">
        <v>432</v>
      </c>
      <c r="H38" s="251">
        <v>471</v>
      </c>
      <c r="I38" s="251">
        <v>473</v>
      </c>
      <c r="J38" s="250">
        <v>430</v>
      </c>
      <c r="K38" s="250">
        <v>456</v>
      </c>
      <c r="L38" s="250">
        <v>495</v>
      </c>
      <c r="M38" s="250">
        <v>495</v>
      </c>
      <c r="N38" s="111"/>
    </row>
    <row r="39" spans="1:14" ht="12.75" customHeight="1">
      <c r="A39" s="204">
        <f t="shared" si="0"/>
        <v>25</v>
      </c>
      <c r="B39" s="204" t="s">
        <v>606</v>
      </c>
      <c r="C39" s="250">
        <v>1354</v>
      </c>
      <c r="D39" s="250">
        <v>1314</v>
      </c>
      <c r="E39" s="249">
        <v>1221</v>
      </c>
      <c r="F39" s="249">
        <v>0</v>
      </c>
      <c r="G39" s="250">
        <v>1306</v>
      </c>
      <c r="H39" s="250">
        <v>1307</v>
      </c>
      <c r="I39" s="250">
        <v>1252</v>
      </c>
      <c r="J39" s="250">
        <v>1124</v>
      </c>
      <c r="K39" s="250">
        <v>1139</v>
      </c>
      <c r="L39" s="250">
        <v>1308</v>
      </c>
      <c r="M39" s="250">
        <v>1308</v>
      </c>
      <c r="N39" s="111"/>
    </row>
    <row r="40" spans="1:14">
      <c r="A40" s="204">
        <f t="shared" si="0"/>
        <v>26</v>
      </c>
      <c r="B40" s="204" t="s">
        <v>607</v>
      </c>
      <c r="C40" s="250">
        <v>1286</v>
      </c>
      <c r="D40" s="250">
        <v>1286</v>
      </c>
      <c r="E40" s="249">
        <v>1283</v>
      </c>
      <c r="F40" s="249">
        <v>0</v>
      </c>
      <c r="G40" s="250">
        <v>1282</v>
      </c>
      <c r="H40" s="250">
        <v>1282</v>
      </c>
      <c r="I40" s="250">
        <v>1267</v>
      </c>
      <c r="J40" s="250">
        <v>1282</v>
      </c>
      <c r="K40" s="250">
        <v>1282</v>
      </c>
      <c r="L40" s="250">
        <v>1282</v>
      </c>
      <c r="M40" s="250">
        <v>1282</v>
      </c>
      <c r="N40" s="111"/>
    </row>
    <row r="41" spans="1:14">
      <c r="A41" s="204">
        <f t="shared" si="0"/>
        <v>27</v>
      </c>
      <c r="B41" s="204" t="s">
        <v>608</v>
      </c>
      <c r="C41" s="250">
        <v>994</v>
      </c>
      <c r="D41" s="250">
        <v>969</v>
      </c>
      <c r="E41" s="249">
        <v>946</v>
      </c>
      <c r="F41" s="249">
        <v>0</v>
      </c>
      <c r="G41" s="250">
        <v>946</v>
      </c>
      <c r="H41" s="250">
        <v>946</v>
      </c>
      <c r="I41" s="250">
        <v>946</v>
      </c>
      <c r="J41" s="250">
        <v>946</v>
      </c>
      <c r="K41" s="250">
        <v>946</v>
      </c>
      <c r="L41" s="250">
        <v>946</v>
      </c>
      <c r="M41" s="250">
        <v>946</v>
      </c>
      <c r="N41" s="111"/>
    </row>
    <row r="42" spans="1:14">
      <c r="A42" s="204">
        <f t="shared" si="0"/>
        <v>28</v>
      </c>
      <c r="B42" s="204" t="s">
        <v>609</v>
      </c>
      <c r="C42" s="250">
        <v>980</v>
      </c>
      <c r="D42" s="250">
        <v>975</v>
      </c>
      <c r="E42" s="249">
        <v>971</v>
      </c>
      <c r="F42" s="249">
        <v>0</v>
      </c>
      <c r="G42" s="250">
        <v>947</v>
      </c>
      <c r="H42" s="250">
        <v>958</v>
      </c>
      <c r="I42" s="250">
        <v>942</v>
      </c>
      <c r="J42" s="250">
        <v>942</v>
      </c>
      <c r="K42" s="250">
        <v>893</v>
      </c>
      <c r="L42" s="250">
        <v>959</v>
      </c>
      <c r="M42" s="250">
        <v>955</v>
      </c>
      <c r="N42" s="111"/>
    </row>
    <row r="43" spans="1:14">
      <c r="A43" s="204">
        <f t="shared" si="0"/>
        <v>29</v>
      </c>
      <c r="B43" s="204" t="s">
        <v>610</v>
      </c>
      <c r="C43" s="250">
        <v>1057</v>
      </c>
      <c r="D43" s="250">
        <v>1012</v>
      </c>
      <c r="E43" s="249">
        <v>817</v>
      </c>
      <c r="F43" s="249">
        <v>0</v>
      </c>
      <c r="G43" s="250">
        <v>821</v>
      </c>
      <c r="H43" s="250">
        <v>863</v>
      </c>
      <c r="I43" s="250">
        <v>792</v>
      </c>
      <c r="J43" s="250">
        <v>792</v>
      </c>
      <c r="K43" s="250">
        <v>764</v>
      </c>
      <c r="L43" s="250">
        <v>1011</v>
      </c>
      <c r="M43" s="250">
        <v>1009</v>
      </c>
      <c r="N43" s="111"/>
    </row>
    <row r="44" spans="1:14">
      <c r="A44" s="204">
        <f t="shared" si="0"/>
        <v>30</v>
      </c>
      <c r="B44" s="502" t="s">
        <v>611</v>
      </c>
      <c r="C44" s="250">
        <v>524</v>
      </c>
      <c r="D44" s="250">
        <v>515</v>
      </c>
      <c r="E44" s="249">
        <v>513</v>
      </c>
      <c r="F44" s="249">
        <v>0</v>
      </c>
      <c r="G44" s="250">
        <v>494</v>
      </c>
      <c r="H44" s="250">
        <v>482</v>
      </c>
      <c r="I44" s="250">
        <v>513</v>
      </c>
      <c r="J44" s="250">
        <v>513</v>
      </c>
      <c r="K44" s="250">
        <v>513</v>
      </c>
      <c r="L44" s="250">
        <v>513</v>
      </c>
      <c r="M44" s="250">
        <v>513</v>
      </c>
      <c r="N44" s="111"/>
    </row>
    <row r="45" spans="1:14">
      <c r="A45" s="204">
        <f t="shared" si="0"/>
        <v>31</v>
      </c>
      <c r="B45" s="502" t="s">
        <v>612</v>
      </c>
      <c r="C45" s="250">
        <v>680</v>
      </c>
      <c r="D45" s="250">
        <v>680</v>
      </c>
      <c r="E45" s="249">
        <v>635</v>
      </c>
      <c r="F45" s="249">
        <v>0</v>
      </c>
      <c r="G45" s="250">
        <v>658</v>
      </c>
      <c r="H45" s="250">
        <v>621</v>
      </c>
      <c r="I45" s="250">
        <v>602</v>
      </c>
      <c r="J45" s="250">
        <v>602</v>
      </c>
      <c r="K45" s="250">
        <v>585</v>
      </c>
      <c r="L45" s="250">
        <v>680</v>
      </c>
      <c r="M45" s="250">
        <v>680</v>
      </c>
      <c r="N45" s="111"/>
    </row>
    <row r="46" spans="1:14">
      <c r="A46" s="204">
        <f t="shared" si="0"/>
        <v>32</v>
      </c>
      <c r="B46" s="502" t="s">
        <v>613</v>
      </c>
      <c r="C46" s="250">
        <v>543</v>
      </c>
      <c r="D46" s="250">
        <v>504</v>
      </c>
      <c r="E46" s="249">
        <v>503</v>
      </c>
      <c r="F46" s="249">
        <v>0</v>
      </c>
      <c r="G46" s="250">
        <v>503</v>
      </c>
      <c r="H46" s="250">
        <v>503</v>
      </c>
      <c r="I46" s="250">
        <v>503</v>
      </c>
      <c r="J46" s="250">
        <v>503</v>
      </c>
      <c r="K46" s="250">
        <v>503</v>
      </c>
      <c r="L46" s="250">
        <v>503</v>
      </c>
      <c r="M46" s="250">
        <v>503</v>
      </c>
      <c r="N46" s="111"/>
    </row>
    <row r="47" spans="1:14">
      <c r="A47" s="204">
        <f t="shared" si="0"/>
        <v>33</v>
      </c>
      <c r="B47" s="502" t="s">
        <v>614</v>
      </c>
      <c r="C47" s="250">
        <v>700</v>
      </c>
      <c r="D47" s="250">
        <v>700</v>
      </c>
      <c r="E47" s="249">
        <v>649</v>
      </c>
      <c r="F47" s="249">
        <v>0</v>
      </c>
      <c r="G47" s="250">
        <v>690</v>
      </c>
      <c r="H47" s="250">
        <v>700</v>
      </c>
      <c r="I47" s="250">
        <v>665</v>
      </c>
      <c r="J47" s="250">
        <v>665</v>
      </c>
      <c r="K47" s="250">
        <v>694</v>
      </c>
      <c r="L47" s="250">
        <v>696</v>
      </c>
      <c r="M47" s="250">
        <v>700</v>
      </c>
      <c r="N47" s="111"/>
    </row>
    <row r="48" spans="1:14">
      <c r="A48" s="151"/>
      <c r="B48" s="151" t="s">
        <v>615</v>
      </c>
      <c r="C48" s="252">
        <f>SUM(C15:C47)</f>
        <v>28333</v>
      </c>
      <c r="D48" s="252">
        <f>SUM(D15:D47)</f>
        <v>27445</v>
      </c>
      <c r="E48" s="252">
        <f>SUM(E15:E47)</f>
        <v>23941</v>
      </c>
      <c r="F48" s="252">
        <f t="shared" ref="F48:J48" si="1">SUM(F15:F47)</f>
        <v>0</v>
      </c>
      <c r="G48" s="252">
        <f t="shared" si="1"/>
        <v>25006</v>
      </c>
      <c r="H48" s="252">
        <f t="shared" si="1"/>
        <v>26338</v>
      </c>
      <c r="I48" s="252">
        <f t="shared" si="1"/>
        <v>25928</v>
      </c>
      <c r="J48" s="252">
        <f t="shared" si="1"/>
        <v>25594</v>
      </c>
      <c r="K48" s="252">
        <f>SUM(K15:K47)</f>
        <v>24615</v>
      </c>
      <c r="L48" s="252">
        <f>SUM(L15:L47)</f>
        <v>26761</v>
      </c>
      <c r="M48" s="252">
        <f>SUM(M15:M47)</f>
        <v>26951</v>
      </c>
    </row>
    <row r="49" spans="5:13">
      <c r="E49" s="253"/>
      <c r="F49" s="253"/>
      <c r="G49" s="253"/>
      <c r="H49" s="253"/>
      <c r="I49" s="253"/>
      <c r="J49" s="253"/>
      <c r="K49" s="253"/>
      <c r="L49" s="253"/>
      <c r="M49" s="253"/>
    </row>
    <row r="54" spans="5:13" ht="14.25">
      <c r="I54" s="732" t="s">
        <v>908</v>
      </c>
      <c r="J54" s="732"/>
      <c r="K54" s="732"/>
      <c r="L54" s="732"/>
      <c r="M54" s="732"/>
    </row>
    <row r="55" spans="5:13" ht="14.25">
      <c r="I55" s="732" t="s">
        <v>646</v>
      </c>
      <c r="J55" s="732"/>
      <c r="K55" s="732"/>
      <c r="L55" s="732"/>
      <c r="M55" s="732"/>
    </row>
  </sheetData>
  <mergeCells count="14">
    <mergeCell ref="I54:M54"/>
    <mergeCell ref="I55:M55"/>
    <mergeCell ref="L1:M1"/>
    <mergeCell ref="H1:I1"/>
    <mergeCell ref="A3:M3"/>
    <mergeCell ref="A4:M4"/>
    <mergeCell ref="A12:A13"/>
    <mergeCell ref="B12:B13"/>
    <mergeCell ref="C12:C13"/>
    <mergeCell ref="D12:D13"/>
    <mergeCell ref="E12:M12"/>
    <mergeCell ref="A2:M2"/>
    <mergeCell ref="A8:F8"/>
    <mergeCell ref="A9:F9"/>
  </mergeCells>
  <printOptions horizontalCentered="1"/>
  <pageMargins left="0.47" right="0.44" top="0.45" bottom="0" header="0.31496062992125984" footer="0.31496062992125984"/>
  <pageSetup paperSize="9" scale="7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topLeftCell="A4" zoomScale="80" zoomScaleNormal="70" zoomScaleSheetLayoutView="80" workbookViewId="0">
      <selection activeCell="E50" sqref="E50"/>
    </sheetView>
  </sheetViews>
  <sheetFormatPr defaultRowHeight="12.75"/>
  <cols>
    <col min="1" max="1" width="9.140625" style="173"/>
    <col min="2" max="2" width="20" style="173" customWidth="1"/>
    <col min="3" max="3" width="9.140625" style="173"/>
    <col min="4" max="4" width="8.42578125" style="173" customWidth="1"/>
    <col min="5" max="5" width="12.85546875" style="173" customWidth="1"/>
    <col min="6" max="6" width="16" style="173" customWidth="1"/>
    <col min="7" max="7" width="15.28515625" style="173" customWidth="1"/>
    <col min="8" max="8" width="17" style="173" customWidth="1"/>
    <col min="9" max="9" width="18" style="173" customWidth="1"/>
    <col min="10" max="10" width="11.140625" style="173" customWidth="1"/>
    <col min="11" max="11" width="12.7109375" style="173" customWidth="1"/>
    <col min="12" max="12" width="11.42578125" style="173" customWidth="1"/>
    <col min="13" max="13" width="15.42578125" style="173" customWidth="1"/>
    <col min="14" max="16384" width="9.140625" style="173"/>
  </cols>
  <sheetData>
    <row r="1" spans="1:16" ht="15.75">
      <c r="C1" s="702" t="s">
        <v>0</v>
      </c>
      <c r="D1" s="702"/>
      <c r="E1" s="702"/>
      <c r="F1" s="702"/>
      <c r="G1" s="702"/>
      <c r="H1" s="702"/>
      <c r="I1" s="702"/>
      <c r="J1" s="49"/>
      <c r="K1" s="49"/>
      <c r="L1" s="953" t="s">
        <v>524</v>
      </c>
      <c r="M1" s="953"/>
      <c r="N1" s="49"/>
      <c r="O1" s="49"/>
      <c r="P1" s="49"/>
    </row>
    <row r="2" spans="1:16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26"/>
      <c r="O2" s="26"/>
      <c r="P2" s="26"/>
    </row>
    <row r="3" spans="1:16" ht="20.2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26"/>
      <c r="O3" s="26"/>
      <c r="P3" s="26"/>
    </row>
    <row r="4" spans="1:16" ht="20.25" customHeight="1">
      <c r="A4" s="964" t="s">
        <v>523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</row>
    <row r="5" spans="1:16" ht="20.25" customHeight="1">
      <c r="A5" s="954" t="s">
        <v>663</v>
      </c>
      <c r="B5" s="954"/>
      <c r="C5" s="954"/>
      <c r="D5" s="954"/>
      <c r="E5" s="954"/>
      <c r="F5" s="954"/>
      <c r="G5" s="954"/>
      <c r="H5" s="793" t="s">
        <v>774</v>
      </c>
      <c r="I5" s="793"/>
      <c r="J5" s="793"/>
      <c r="K5" s="793"/>
      <c r="L5" s="793"/>
      <c r="M5" s="793"/>
      <c r="N5" s="46"/>
    </row>
    <row r="6" spans="1:16" ht="15" customHeight="1">
      <c r="A6" s="895" t="s">
        <v>70</v>
      </c>
      <c r="B6" s="895" t="s">
        <v>288</v>
      </c>
      <c r="C6" s="966" t="s">
        <v>410</v>
      </c>
      <c r="D6" s="967"/>
      <c r="E6" s="967"/>
      <c r="F6" s="967"/>
      <c r="G6" s="968"/>
      <c r="H6" s="879" t="s">
        <v>407</v>
      </c>
      <c r="I6" s="879"/>
      <c r="J6" s="879"/>
      <c r="K6" s="879"/>
      <c r="L6" s="879"/>
      <c r="M6" s="895" t="s">
        <v>289</v>
      </c>
    </row>
    <row r="7" spans="1:16" ht="12.75" customHeight="1">
      <c r="A7" s="896"/>
      <c r="B7" s="896"/>
      <c r="C7" s="969"/>
      <c r="D7" s="970"/>
      <c r="E7" s="970"/>
      <c r="F7" s="970"/>
      <c r="G7" s="971"/>
      <c r="H7" s="879"/>
      <c r="I7" s="879"/>
      <c r="J7" s="879"/>
      <c r="K7" s="879"/>
      <c r="L7" s="879"/>
      <c r="M7" s="896"/>
    </row>
    <row r="8" spans="1:16" ht="5.25" customHeight="1">
      <c r="A8" s="896"/>
      <c r="B8" s="896"/>
      <c r="C8" s="969"/>
      <c r="D8" s="970"/>
      <c r="E8" s="970"/>
      <c r="F8" s="970"/>
      <c r="G8" s="971"/>
      <c r="H8" s="879"/>
      <c r="I8" s="879"/>
      <c r="J8" s="879"/>
      <c r="K8" s="879"/>
      <c r="L8" s="879"/>
      <c r="M8" s="896"/>
    </row>
    <row r="9" spans="1:16" ht="68.25" customHeight="1">
      <c r="A9" s="897"/>
      <c r="B9" s="897"/>
      <c r="C9" s="467" t="s">
        <v>290</v>
      </c>
      <c r="D9" s="467" t="s">
        <v>291</v>
      </c>
      <c r="E9" s="467" t="s">
        <v>292</v>
      </c>
      <c r="F9" s="467" t="s">
        <v>293</v>
      </c>
      <c r="G9" s="467" t="s">
        <v>294</v>
      </c>
      <c r="H9" s="468" t="s">
        <v>406</v>
      </c>
      <c r="I9" s="468" t="s">
        <v>411</v>
      </c>
      <c r="J9" s="468" t="s">
        <v>408</v>
      </c>
      <c r="K9" s="468" t="s">
        <v>409</v>
      </c>
      <c r="L9" s="468" t="s">
        <v>43</v>
      </c>
      <c r="M9" s="897"/>
    </row>
    <row r="10" spans="1:16" ht="14.25">
      <c r="A10" s="208">
        <v>1</v>
      </c>
      <c r="B10" s="208">
        <v>2</v>
      </c>
      <c r="C10" s="208">
        <v>3</v>
      </c>
      <c r="D10" s="208">
        <v>4</v>
      </c>
      <c r="E10" s="208">
        <v>5</v>
      </c>
      <c r="F10" s="208">
        <v>6</v>
      </c>
      <c r="G10" s="208">
        <v>7</v>
      </c>
      <c r="H10" s="208">
        <v>8</v>
      </c>
      <c r="I10" s="208">
        <v>9</v>
      </c>
      <c r="J10" s="208">
        <v>10</v>
      </c>
      <c r="K10" s="208">
        <v>11</v>
      </c>
      <c r="L10" s="208">
        <v>12</v>
      </c>
      <c r="M10" s="208">
        <v>13</v>
      </c>
    </row>
    <row r="11" spans="1:16" ht="14.25" customHeight="1">
      <c r="A11" s="204">
        <v>1</v>
      </c>
      <c r="B11" s="204" t="s">
        <v>624</v>
      </c>
      <c r="C11" s="972" t="s">
        <v>629</v>
      </c>
      <c r="D11" s="973"/>
      <c r="E11" s="973"/>
      <c r="F11" s="973"/>
      <c r="G11" s="973"/>
      <c r="H11" s="973"/>
      <c r="I11" s="973"/>
      <c r="J11" s="973"/>
      <c r="K11" s="973"/>
      <c r="L11" s="973"/>
      <c r="M11" s="974"/>
    </row>
    <row r="12" spans="1:16" ht="14.25" customHeight="1">
      <c r="A12" s="204">
        <f>A11+1</f>
        <v>2</v>
      </c>
      <c r="B12" s="204" t="s">
        <v>589</v>
      </c>
      <c r="C12" s="975"/>
      <c r="D12" s="976"/>
      <c r="E12" s="976"/>
      <c r="F12" s="976"/>
      <c r="G12" s="976"/>
      <c r="H12" s="976"/>
      <c r="I12" s="976"/>
      <c r="J12" s="976"/>
      <c r="K12" s="976"/>
      <c r="L12" s="976"/>
      <c r="M12" s="977"/>
    </row>
    <row r="13" spans="1:16" ht="14.25" customHeight="1">
      <c r="A13" s="204">
        <f t="shared" ref="A13:A43" si="0">A12+1</f>
        <v>3</v>
      </c>
      <c r="B13" s="204" t="s">
        <v>625</v>
      </c>
      <c r="C13" s="975"/>
      <c r="D13" s="976"/>
      <c r="E13" s="976"/>
      <c r="F13" s="976"/>
      <c r="G13" s="976"/>
      <c r="H13" s="976"/>
      <c r="I13" s="976"/>
      <c r="J13" s="976"/>
      <c r="K13" s="976"/>
      <c r="L13" s="976"/>
      <c r="M13" s="977"/>
    </row>
    <row r="14" spans="1:16" ht="14.25" customHeight="1">
      <c r="A14" s="204">
        <f t="shared" si="0"/>
        <v>4</v>
      </c>
      <c r="B14" s="204" t="s">
        <v>590</v>
      </c>
      <c r="C14" s="975"/>
      <c r="D14" s="976"/>
      <c r="E14" s="976"/>
      <c r="F14" s="976"/>
      <c r="G14" s="976"/>
      <c r="H14" s="976"/>
      <c r="I14" s="976"/>
      <c r="J14" s="976"/>
      <c r="K14" s="976"/>
      <c r="L14" s="976"/>
      <c r="M14" s="977"/>
    </row>
    <row r="15" spans="1:16" ht="14.25" customHeight="1">
      <c r="A15" s="204">
        <f t="shared" si="0"/>
        <v>5</v>
      </c>
      <c r="B15" s="204" t="s">
        <v>591</v>
      </c>
      <c r="C15" s="975"/>
      <c r="D15" s="976"/>
      <c r="E15" s="976"/>
      <c r="F15" s="976"/>
      <c r="G15" s="976"/>
      <c r="H15" s="976"/>
      <c r="I15" s="976"/>
      <c r="J15" s="976"/>
      <c r="K15" s="976"/>
      <c r="L15" s="976"/>
      <c r="M15" s="977"/>
    </row>
    <row r="16" spans="1:16" ht="14.25" customHeight="1">
      <c r="A16" s="204">
        <f t="shared" si="0"/>
        <v>6</v>
      </c>
      <c r="B16" s="204" t="s">
        <v>592</v>
      </c>
      <c r="C16" s="975"/>
      <c r="D16" s="976"/>
      <c r="E16" s="976"/>
      <c r="F16" s="976"/>
      <c r="G16" s="976"/>
      <c r="H16" s="976"/>
      <c r="I16" s="976"/>
      <c r="J16" s="976"/>
      <c r="K16" s="976"/>
      <c r="L16" s="976"/>
      <c r="M16" s="977"/>
    </row>
    <row r="17" spans="1:13" ht="14.25" customHeight="1">
      <c r="A17" s="204">
        <f t="shared" si="0"/>
        <v>7</v>
      </c>
      <c r="B17" s="204" t="s">
        <v>593</v>
      </c>
      <c r="C17" s="975"/>
      <c r="D17" s="976"/>
      <c r="E17" s="976"/>
      <c r="F17" s="976"/>
      <c r="G17" s="976"/>
      <c r="H17" s="976"/>
      <c r="I17" s="976"/>
      <c r="J17" s="976"/>
      <c r="K17" s="976"/>
      <c r="L17" s="976"/>
      <c r="M17" s="977"/>
    </row>
    <row r="18" spans="1:13" ht="14.25" customHeight="1">
      <c r="A18" s="204">
        <f t="shared" si="0"/>
        <v>8</v>
      </c>
      <c r="B18" s="204" t="s">
        <v>594</v>
      </c>
      <c r="C18" s="975"/>
      <c r="D18" s="976"/>
      <c r="E18" s="976"/>
      <c r="F18" s="976"/>
      <c r="G18" s="976"/>
      <c r="H18" s="976"/>
      <c r="I18" s="976"/>
      <c r="J18" s="976"/>
      <c r="K18" s="976"/>
      <c r="L18" s="976"/>
      <c r="M18" s="977"/>
    </row>
    <row r="19" spans="1:13" ht="14.25" customHeight="1">
      <c r="A19" s="204">
        <f t="shared" si="0"/>
        <v>9</v>
      </c>
      <c r="B19" s="204" t="s">
        <v>595</v>
      </c>
      <c r="C19" s="975"/>
      <c r="D19" s="976"/>
      <c r="E19" s="976"/>
      <c r="F19" s="976"/>
      <c r="G19" s="976"/>
      <c r="H19" s="976"/>
      <c r="I19" s="976"/>
      <c r="J19" s="976"/>
      <c r="K19" s="976"/>
      <c r="L19" s="976"/>
      <c r="M19" s="977"/>
    </row>
    <row r="20" spans="1:13" ht="14.25" customHeight="1">
      <c r="A20" s="204">
        <f t="shared" si="0"/>
        <v>10</v>
      </c>
      <c r="B20" s="204" t="s">
        <v>596</v>
      </c>
      <c r="C20" s="975"/>
      <c r="D20" s="976"/>
      <c r="E20" s="976"/>
      <c r="F20" s="976"/>
      <c r="G20" s="976"/>
      <c r="H20" s="976"/>
      <c r="I20" s="976"/>
      <c r="J20" s="976"/>
      <c r="K20" s="976"/>
      <c r="L20" s="976"/>
      <c r="M20" s="977"/>
    </row>
    <row r="21" spans="1:13" ht="14.25" customHeight="1">
      <c r="A21" s="204">
        <f t="shared" si="0"/>
        <v>11</v>
      </c>
      <c r="B21" s="204" t="s">
        <v>626</v>
      </c>
      <c r="C21" s="975"/>
      <c r="D21" s="976"/>
      <c r="E21" s="976"/>
      <c r="F21" s="976"/>
      <c r="G21" s="976"/>
      <c r="H21" s="976"/>
      <c r="I21" s="976"/>
      <c r="J21" s="976"/>
      <c r="K21" s="976"/>
      <c r="L21" s="976"/>
      <c r="M21" s="977"/>
    </row>
    <row r="22" spans="1:13" ht="14.25" customHeight="1">
      <c r="A22" s="204">
        <f t="shared" si="0"/>
        <v>12</v>
      </c>
      <c r="B22" s="204" t="s">
        <v>597</v>
      </c>
      <c r="C22" s="975"/>
      <c r="D22" s="976"/>
      <c r="E22" s="976"/>
      <c r="F22" s="976"/>
      <c r="G22" s="976"/>
      <c r="H22" s="976"/>
      <c r="I22" s="976"/>
      <c r="J22" s="976"/>
      <c r="K22" s="976"/>
      <c r="L22" s="976"/>
      <c r="M22" s="977"/>
    </row>
    <row r="23" spans="1:13" ht="14.25" customHeight="1">
      <c r="A23" s="204">
        <f t="shared" si="0"/>
        <v>13</v>
      </c>
      <c r="B23" s="204" t="s">
        <v>598</v>
      </c>
      <c r="C23" s="975"/>
      <c r="D23" s="976"/>
      <c r="E23" s="976"/>
      <c r="F23" s="976"/>
      <c r="G23" s="976"/>
      <c r="H23" s="976"/>
      <c r="I23" s="976"/>
      <c r="J23" s="976"/>
      <c r="K23" s="976"/>
      <c r="L23" s="976"/>
      <c r="M23" s="977"/>
    </row>
    <row r="24" spans="1:13" ht="14.25" customHeight="1">
      <c r="A24" s="204">
        <f t="shared" si="0"/>
        <v>14</v>
      </c>
      <c r="B24" s="204" t="s">
        <v>627</v>
      </c>
      <c r="C24" s="975"/>
      <c r="D24" s="976"/>
      <c r="E24" s="976"/>
      <c r="F24" s="976"/>
      <c r="G24" s="976"/>
      <c r="H24" s="976"/>
      <c r="I24" s="976"/>
      <c r="J24" s="976"/>
      <c r="K24" s="976"/>
      <c r="L24" s="976"/>
      <c r="M24" s="977"/>
    </row>
    <row r="25" spans="1:13" ht="14.25" customHeight="1">
      <c r="A25" s="204">
        <f t="shared" si="0"/>
        <v>15</v>
      </c>
      <c r="B25" s="204" t="s">
        <v>599</v>
      </c>
      <c r="C25" s="975"/>
      <c r="D25" s="976"/>
      <c r="E25" s="976"/>
      <c r="F25" s="976"/>
      <c r="G25" s="976"/>
      <c r="H25" s="976"/>
      <c r="I25" s="976"/>
      <c r="J25" s="976"/>
      <c r="K25" s="976"/>
      <c r="L25" s="976"/>
      <c r="M25" s="977"/>
    </row>
    <row r="26" spans="1:13" ht="14.25" customHeight="1">
      <c r="A26" s="204">
        <f t="shared" si="0"/>
        <v>16</v>
      </c>
      <c r="B26" s="204" t="s">
        <v>600</v>
      </c>
      <c r="C26" s="975"/>
      <c r="D26" s="976"/>
      <c r="E26" s="976"/>
      <c r="F26" s="976"/>
      <c r="G26" s="976"/>
      <c r="H26" s="976"/>
      <c r="I26" s="976"/>
      <c r="J26" s="976"/>
      <c r="K26" s="976"/>
      <c r="L26" s="976"/>
      <c r="M26" s="977"/>
    </row>
    <row r="27" spans="1:13" s="527" customFormat="1" ht="14.25" customHeight="1">
      <c r="A27" s="204">
        <f t="shared" si="0"/>
        <v>17</v>
      </c>
      <c r="B27" s="529" t="s">
        <v>684</v>
      </c>
      <c r="C27" s="975"/>
      <c r="D27" s="976"/>
      <c r="E27" s="976"/>
      <c r="F27" s="976"/>
      <c r="G27" s="976"/>
      <c r="H27" s="976"/>
      <c r="I27" s="976"/>
      <c r="J27" s="976"/>
      <c r="K27" s="976"/>
      <c r="L27" s="976"/>
      <c r="M27" s="977"/>
    </row>
    <row r="28" spans="1:13" ht="14.25" customHeight="1">
      <c r="A28" s="204">
        <f t="shared" si="0"/>
        <v>18</v>
      </c>
      <c r="B28" s="204" t="s">
        <v>601</v>
      </c>
      <c r="C28" s="975"/>
      <c r="D28" s="976"/>
      <c r="E28" s="976"/>
      <c r="F28" s="976"/>
      <c r="G28" s="976"/>
      <c r="H28" s="976"/>
      <c r="I28" s="976"/>
      <c r="J28" s="976"/>
      <c r="K28" s="976"/>
      <c r="L28" s="976"/>
      <c r="M28" s="977"/>
    </row>
    <row r="29" spans="1:13" ht="14.25" customHeight="1">
      <c r="A29" s="204">
        <f t="shared" si="0"/>
        <v>19</v>
      </c>
      <c r="B29" s="204" t="s">
        <v>602</v>
      </c>
      <c r="C29" s="975"/>
      <c r="D29" s="976"/>
      <c r="E29" s="976"/>
      <c r="F29" s="976"/>
      <c r="G29" s="976"/>
      <c r="H29" s="976"/>
      <c r="I29" s="976"/>
      <c r="J29" s="976"/>
      <c r="K29" s="976"/>
      <c r="L29" s="976"/>
      <c r="M29" s="977"/>
    </row>
    <row r="30" spans="1:13" s="527" customFormat="1" ht="14.25" customHeight="1">
      <c r="A30" s="204">
        <f t="shared" si="0"/>
        <v>20</v>
      </c>
      <c r="B30" s="529" t="s">
        <v>683</v>
      </c>
      <c r="C30" s="975"/>
      <c r="D30" s="976"/>
      <c r="E30" s="976"/>
      <c r="F30" s="976"/>
      <c r="G30" s="976"/>
      <c r="H30" s="976"/>
      <c r="I30" s="976"/>
      <c r="J30" s="976"/>
      <c r="K30" s="976"/>
      <c r="L30" s="976"/>
      <c r="M30" s="977"/>
    </row>
    <row r="31" spans="1:13" ht="14.25" customHeight="1">
      <c r="A31" s="204">
        <f t="shared" si="0"/>
        <v>21</v>
      </c>
      <c r="B31" s="529" t="s">
        <v>628</v>
      </c>
      <c r="C31" s="975"/>
      <c r="D31" s="976"/>
      <c r="E31" s="976"/>
      <c r="F31" s="976"/>
      <c r="G31" s="976"/>
      <c r="H31" s="976"/>
      <c r="I31" s="976"/>
      <c r="J31" s="976"/>
      <c r="K31" s="976"/>
      <c r="L31" s="976"/>
      <c r="M31" s="977"/>
    </row>
    <row r="32" spans="1:13" ht="14.25" customHeight="1">
      <c r="A32" s="204">
        <f t="shared" si="0"/>
        <v>22</v>
      </c>
      <c r="B32" s="204" t="s">
        <v>603</v>
      </c>
      <c r="C32" s="975"/>
      <c r="D32" s="976"/>
      <c r="E32" s="976"/>
      <c r="F32" s="976"/>
      <c r="G32" s="976"/>
      <c r="H32" s="976"/>
      <c r="I32" s="976"/>
      <c r="J32" s="976"/>
      <c r="K32" s="976"/>
      <c r="L32" s="976"/>
      <c r="M32" s="977"/>
    </row>
    <row r="33" spans="1:13" ht="14.25" customHeight="1">
      <c r="A33" s="204">
        <f t="shared" si="0"/>
        <v>23</v>
      </c>
      <c r="B33" s="204" t="s">
        <v>604</v>
      </c>
      <c r="C33" s="975"/>
      <c r="D33" s="976"/>
      <c r="E33" s="976"/>
      <c r="F33" s="976"/>
      <c r="G33" s="976"/>
      <c r="H33" s="976"/>
      <c r="I33" s="976"/>
      <c r="J33" s="976"/>
      <c r="K33" s="976"/>
      <c r="L33" s="976"/>
      <c r="M33" s="977"/>
    </row>
    <row r="34" spans="1:13" ht="14.25" customHeight="1">
      <c r="A34" s="204">
        <f t="shared" si="0"/>
        <v>24</v>
      </c>
      <c r="B34" s="204" t="s">
        <v>605</v>
      </c>
      <c r="C34" s="975"/>
      <c r="D34" s="976"/>
      <c r="E34" s="976"/>
      <c r="F34" s="976"/>
      <c r="G34" s="976"/>
      <c r="H34" s="976"/>
      <c r="I34" s="976"/>
      <c r="J34" s="976"/>
      <c r="K34" s="976"/>
      <c r="L34" s="976"/>
      <c r="M34" s="977"/>
    </row>
    <row r="35" spans="1:13" ht="14.25" customHeight="1">
      <c r="A35" s="204">
        <f t="shared" si="0"/>
        <v>25</v>
      </c>
      <c r="B35" s="204" t="s">
        <v>606</v>
      </c>
      <c r="C35" s="975"/>
      <c r="D35" s="976"/>
      <c r="E35" s="976"/>
      <c r="F35" s="976"/>
      <c r="G35" s="976"/>
      <c r="H35" s="976"/>
      <c r="I35" s="976"/>
      <c r="J35" s="976"/>
      <c r="K35" s="976"/>
      <c r="L35" s="976"/>
      <c r="M35" s="977"/>
    </row>
    <row r="36" spans="1:13" ht="14.25" customHeight="1">
      <c r="A36" s="204">
        <f t="shared" si="0"/>
        <v>26</v>
      </c>
      <c r="B36" s="204" t="s">
        <v>607</v>
      </c>
      <c r="C36" s="975"/>
      <c r="D36" s="976"/>
      <c r="E36" s="976"/>
      <c r="F36" s="976"/>
      <c r="G36" s="976"/>
      <c r="H36" s="976"/>
      <c r="I36" s="976"/>
      <c r="J36" s="976"/>
      <c r="K36" s="976"/>
      <c r="L36" s="976"/>
      <c r="M36" s="977"/>
    </row>
    <row r="37" spans="1:13">
      <c r="A37" s="204">
        <f t="shared" si="0"/>
        <v>27</v>
      </c>
      <c r="B37" s="204" t="s">
        <v>608</v>
      </c>
      <c r="C37" s="975"/>
      <c r="D37" s="976"/>
      <c r="E37" s="976"/>
      <c r="F37" s="976"/>
      <c r="G37" s="976"/>
      <c r="H37" s="976"/>
      <c r="I37" s="976"/>
      <c r="J37" s="976"/>
      <c r="K37" s="976"/>
      <c r="L37" s="976"/>
      <c r="M37" s="977"/>
    </row>
    <row r="38" spans="1:13">
      <c r="A38" s="204">
        <f t="shared" si="0"/>
        <v>28</v>
      </c>
      <c r="B38" s="204" t="s">
        <v>609</v>
      </c>
      <c r="C38" s="975"/>
      <c r="D38" s="976"/>
      <c r="E38" s="976"/>
      <c r="F38" s="976"/>
      <c r="G38" s="976"/>
      <c r="H38" s="976"/>
      <c r="I38" s="976"/>
      <c r="J38" s="976"/>
      <c r="K38" s="976"/>
      <c r="L38" s="976"/>
      <c r="M38" s="977"/>
    </row>
    <row r="39" spans="1:13">
      <c r="A39" s="204">
        <f t="shared" si="0"/>
        <v>29</v>
      </c>
      <c r="B39" s="204" t="s">
        <v>610</v>
      </c>
      <c r="C39" s="975"/>
      <c r="D39" s="976"/>
      <c r="E39" s="976"/>
      <c r="F39" s="976"/>
      <c r="G39" s="976"/>
      <c r="H39" s="976"/>
      <c r="I39" s="976"/>
      <c r="J39" s="976"/>
      <c r="K39" s="976"/>
      <c r="L39" s="976"/>
      <c r="M39" s="977"/>
    </row>
    <row r="40" spans="1:13">
      <c r="A40" s="204">
        <f t="shared" si="0"/>
        <v>30</v>
      </c>
      <c r="B40" s="502" t="s">
        <v>611</v>
      </c>
      <c r="C40" s="975"/>
      <c r="D40" s="976"/>
      <c r="E40" s="976"/>
      <c r="F40" s="976"/>
      <c r="G40" s="976"/>
      <c r="H40" s="976"/>
      <c r="I40" s="976"/>
      <c r="J40" s="976"/>
      <c r="K40" s="976"/>
      <c r="L40" s="976"/>
      <c r="M40" s="977"/>
    </row>
    <row r="41" spans="1:13">
      <c r="A41" s="204">
        <f t="shared" si="0"/>
        <v>31</v>
      </c>
      <c r="B41" s="502" t="s">
        <v>612</v>
      </c>
      <c r="C41" s="975"/>
      <c r="D41" s="976"/>
      <c r="E41" s="976"/>
      <c r="F41" s="976"/>
      <c r="G41" s="976"/>
      <c r="H41" s="976"/>
      <c r="I41" s="976"/>
      <c r="J41" s="976"/>
      <c r="K41" s="976"/>
      <c r="L41" s="976"/>
      <c r="M41" s="977"/>
    </row>
    <row r="42" spans="1:13">
      <c r="A42" s="204">
        <f t="shared" si="0"/>
        <v>32</v>
      </c>
      <c r="B42" s="502" t="s">
        <v>613</v>
      </c>
      <c r="C42" s="975"/>
      <c r="D42" s="976"/>
      <c r="E42" s="976"/>
      <c r="F42" s="976"/>
      <c r="G42" s="976"/>
      <c r="H42" s="976"/>
      <c r="I42" s="976"/>
      <c r="J42" s="976"/>
      <c r="K42" s="976"/>
      <c r="L42" s="976"/>
      <c r="M42" s="977"/>
    </row>
    <row r="43" spans="1:13">
      <c r="A43" s="204">
        <f t="shared" si="0"/>
        <v>33</v>
      </c>
      <c r="B43" s="502" t="s">
        <v>614</v>
      </c>
      <c r="C43" s="975"/>
      <c r="D43" s="976"/>
      <c r="E43" s="976"/>
      <c r="F43" s="976"/>
      <c r="G43" s="976"/>
      <c r="H43" s="976"/>
      <c r="I43" s="976"/>
      <c r="J43" s="976"/>
      <c r="K43" s="976"/>
      <c r="L43" s="976"/>
      <c r="M43" s="977"/>
    </row>
    <row r="44" spans="1:13">
      <c r="A44" s="151"/>
      <c r="B44" s="151" t="s">
        <v>615</v>
      </c>
      <c r="C44" s="975"/>
      <c r="D44" s="976"/>
      <c r="E44" s="976"/>
      <c r="F44" s="976"/>
      <c r="G44" s="976"/>
      <c r="H44" s="976"/>
      <c r="I44" s="976"/>
      <c r="J44" s="976"/>
      <c r="K44" s="976"/>
      <c r="L44" s="976"/>
      <c r="M44" s="977"/>
    </row>
    <row r="45" spans="1:13">
      <c r="A45" s="17" t="s">
        <v>16</v>
      </c>
      <c r="B45" s="8"/>
      <c r="C45" s="978"/>
      <c r="D45" s="979"/>
      <c r="E45" s="979"/>
      <c r="F45" s="979"/>
      <c r="G45" s="979"/>
      <c r="H45" s="979"/>
      <c r="I45" s="979"/>
      <c r="J45" s="979"/>
      <c r="K45" s="979"/>
      <c r="L45" s="979"/>
      <c r="M45" s="980"/>
    </row>
    <row r="46" spans="1:13" ht="16.5" customHeight="1">
      <c r="B46" s="145"/>
      <c r="C46" s="965"/>
      <c r="D46" s="965"/>
      <c r="E46" s="965"/>
      <c r="F46" s="965"/>
    </row>
    <row r="50" spans="10:13" ht="14.25">
      <c r="J50" s="732" t="s">
        <v>908</v>
      </c>
      <c r="K50" s="732"/>
      <c r="L50" s="732"/>
      <c r="M50" s="732"/>
    </row>
    <row r="51" spans="10:13" ht="14.25">
      <c r="J51" s="732" t="s">
        <v>646</v>
      </c>
      <c r="K51" s="732"/>
      <c r="L51" s="732"/>
      <c r="M51" s="732"/>
    </row>
  </sheetData>
  <mergeCells count="15">
    <mergeCell ref="J51:M51"/>
    <mergeCell ref="L1:M1"/>
    <mergeCell ref="C1:I1"/>
    <mergeCell ref="A4:M4"/>
    <mergeCell ref="J50:M50"/>
    <mergeCell ref="C46:F46"/>
    <mergeCell ref="H6:L8"/>
    <mergeCell ref="H5:M5"/>
    <mergeCell ref="A5:G5"/>
    <mergeCell ref="M6:M9"/>
    <mergeCell ref="A6:A9"/>
    <mergeCell ref="B6:B9"/>
    <mergeCell ref="C6:G8"/>
    <mergeCell ref="C11:M45"/>
    <mergeCell ref="A2:M2"/>
  </mergeCells>
  <printOptions horizontalCentered="1"/>
  <pageMargins left="0.42" right="0.41" top="0.41" bottom="0" header="0.31496062992125984" footer="0.31496062992125984"/>
  <pageSetup paperSize="9" scale="71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topLeftCell="A23" zoomScale="63" zoomScaleNormal="70" zoomScaleSheetLayoutView="63" workbookViewId="0">
      <selection activeCell="E50" sqref="E50"/>
    </sheetView>
  </sheetViews>
  <sheetFormatPr defaultRowHeight="12.75"/>
  <cols>
    <col min="1" max="1" width="36" style="173" customWidth="1"/>
    <col min="2" max="2" width="25.7109375" style="173" customWidth="1"/>
    <col min="3" max="3" width="21.85546875" style="173" customWidth="1"/>
    <col min="4" max="4" width="22.5703125" style="173" customWidth="1"/>
    <col min="5" max="5" width="19.42578125" style="173" customWidth="1"/>
    <col min="6" max="6" width="17.42578125" style="173" customWidth="1"/>
    <col min="7" max="16384" width="9.140625" style="173"/>
  </cols>
  <sheetData>
    <row r="1" spans="1:12" ht="15.75">
      <c r="A1" s="702" t="s">
        <v>0</v>
      </c>
      <c r="B1" s="702"/>
      <c r="C1" s="702"/>
      <c r="D1" s="702"/>
      <c r="E1" s="702"/>
      <c r="F1" s="212" t="s">
        <v>526</v>
      </c>
      <c r="G1" s="49"/>
      <c r="H1" s="49"/>
      <c r="I1" s="49"/>
      <c r="J1" s="49"/>
      <c r="K1" s="49"/>
      <c r="L1" s="49"/>
    </row>
    <row r="2" spans="1:12" ht="20.25">
      <c r="A2" s="703" t="s">
        <v>737</v>
      </c>
      <c r="B2" s="703"/>
      <c r="C2" s="703"/>
      <c r="D2" s="703"/>
      <c r="E2" s="703"/>
      <c r="F2" s="703"/>
      <c r="G2" s="26"/>
      <c r="H2" s="26"/>
      <c r="I2" s="26"/>
      <c r="J2" s="26"/>
      <c r="K2" s="26"/>
      <c r="L2" s="26"/>
    </row>
    <row r="3" spans="1:12">
      <c r="A3" s="171"/>
      <c r="B3" s="171"/>
      <c r="C3" s="171"/>
      <c r="D3" s="171"/>
      <c r="E3" s="171"/>
      <c r="F3" s="171"/>
    </row>
    <row r="4" spans="1:12" ht="18">
      <c r="A4" s="981" t="s">
        <v>525</v>
      </c>
      <c r="B4" s="981"/>
      <c r="C4" s="981"/>
      <c r="D4" s="981"/>
      <c r="E4" s="981"/>
      <c r="F4" s="981"/>
      <c r="G4" s="981"/>
    </row>
    <row r="5" spans="1:12" ht="18">
      <c r="A5" s="76" t="s">
        <v>664</v>
      </c>
      <c r="B5" s="219"/>
      <c r="C5" s="219"/>
      <c r="D5" s="219"/>
      <c r="E5" s="219"/>
      <c r="F5" s="219"/>
      <c r="G5" s="219"/>
    </row>
    <row r="6" spans="1:12" ht="31.5">
      <c r="A6" s="220"/>
      <c r="B6" s="221" t="s">
        <v>318</v>
      </c>
      <c r="C6" s="221" t="s">
        <v>319</v>
      </c>
      <c r="D6" s="221" t="s">
        <v>320</v>
      </c>
      <c r="E6" s="222"/>
      <c r="F6" s="222"/>
    </row>
    <row r="7" spans="1:12" ht="15">
      <c r="A7" s="223" t="s">
        <v>321</v>
      </c>
      <c r="B7" s="223" t="s">
        <v>670</v>
      </c>
      <c r="C7" s="223" t="s">
        <v>667</v>
      </c>
      <c r="D7" s="223" t="s">
        <v>667</v>
      </c>
      <c r="E7" s="222"/>
      <c r="F7" s="222"/>
    </row>
    <row r="8" spans="1:12" ht="13.5" customHeight="1">
      <c r="A8" s="223" t="s">
        <v>322</v>
      </c>
      <c r="B8" s="223" t="s">
        <v>670</v>
      </c>
      <c r="C8" s="223" t="s">
        <v>667</v>
      </c>
      <c r="D8" s="223" t="s">
        <v>667</v>
      </c>
      <c r="E8" s="222"/>
      <c r="F8" s="222"/>
    </row>
    <row r="9" spans="1:12" ht="13.5" customHeight="1">
      <c r="A9" s="223" t="s">
        <v>323</v>
      </c>
      <c r="B9" s="223"/>
      <c r="C9" s="223"/>
      <c r="D9" s="223"/>
      <c r="E9" s="222"/>
      <c r="F9" s="222"/>
    </row>
    <row r="10" spans="1:12" ht="13.5" customHeight="1">
      <c r="A10" s="224" t="s">
        <v>616</v>
      </c>
      <c r="B10" s="223" t="s">
        <v>670</v>
      </c>
      <c r="C10" s="223" t="s">
        <v>667</v>
      </c>
      <c r="D10" s="223" t="s">
        <v>667</v>
      </c>
      <c r="E10" s="222"/>
      <c r="F10" s="222"/>
    </row>
    <row r="11" spans="1:12" ht="13.5" customHeight="1">
      <c r="A11" s="224" t="s">
        <v>617</v>
      </c>
      <c r="B11" s="223"/>
      <c r="C11" s="223"/>
      <c r="D11" s="223"/>
      <c r="E11" s="222"/>
      <c r="F11" s="222"/>
    </row>
    <row r="12" spans="1:12" ht="13.5" customHeight="1">
      <c r="A12" s="224" t="s">
        <v>618</v>
      </c>
      <c r="B12" s="223"/>
      <c r="C12" s="223"/>
      <c r="D12" s="223"/>
      <c r="E12" s="222"/>
      <c r="F12" s="222"/>
    </row>
    <row r="13" spans="1:12" ht="13.5" customHeight="1">
      <c r="A13" s="224" t="s">
        <v>619</v>
      </c>
      <c r="B13" s="223" t="s">
        <v>670</v>
      </c>
      <c r="C13" s="223" t="s">
        <v>670</v>
      </c>
      <c r="D13" s="223" t="s">
        <v>670</v>
      </c>
      <c r="E13" s="222"/>
      <c r="F13" s="222"/>
    </row>
    <row r="14" spans="1:12" ht="13.5" customHeight="1">
      <c r="A14" s="224" t="s">
        <v>620</v>
      </c>
      <c r="B14" s="223"/>
      <c r="C14" s="223"/>
      <c r="D14" s="223"/>
      <c r="E14" s="222"/>
      <c r="F14" s="222"/>
    </row>
    <row r="15" spans="1:12" ht="13.5" customHeight="1">
      <c r="A15" s="224" t="s">
        <v>621</v>
      </c>
      <c r="B15" s="223"/>
      <c r="C15" s="223"/>
      <c r="D15" s="223"/>
      <c r="E15" s="222"/>
      <c r="F15" s="222"/>
    </row>
    <row r="16" spans="1:12" ht="13.5" customHeight="1">
      <c r="A16" s="224" t="s">
        <v>622</v>
      </c>
      <c r="B16" s="223" t="s">
        <v>670</v>
      </c>
      <c r="C16" s="223" t="s">
        <v>670</v>
      </c>
      <c r="D16" s="223" t="s">
        <v>670</v>
      </c>
      <c r="E16" s="222"/>
      <c r="F16" s="222"/>
    </row>
    <row r="17" spans="1:7" ht="13.5" customHeight="1">
      <c r="A17" s="224" t="s">
        <v>623</v>
      </c>
      <c r="B17" s="223" t="s">
        <v>670</v>
      </c>
      <c r="C17" s="223" t="s">
        <v>670</v>
      </c>
      <c r="D17" s="223" t="s">
        <v>670</v>
      </c>
      <c r="E17" s="222"/>
      <c r="F17" s="222"/>
    </row>
    <row r="18" spans="1:7" ht="13.5" customHeight="1">
      <c r="A18" s="225"/>
      <c r="B18" s="226"/>
      <c r="C18" s="226"/>
      <c r="D18" s="226"/>
      <c r="E18" s="222"/>
      <c r="F18" s="222"/>
    </row>
    <row r="19" spans="1:7" ht="13.5" customHeight="1">
      <c r="A19" s="982" t="s">
        <v>324</v>
      </c>
      <c r="B19" s="982"/>
      <c r="C19" s="982"/>
      <c r="D19" s="982"/>
      <c r="E19" s="982"/>
      <c r="F19" s="982"/>
      <c r="G19" s="982"/>
    </row>
    <row r="20" spans="1:7" ht="15">
      <c r="A20" s="222"/>
      <c r="B20" s="222"/>
      <c r="C20" s="222"/>
      <c r="D20" s="222"/>
      <c r="E20" s="924" t="s">
        <v>773</v>
      </c>
      <c r="F20" s="924"/>
      <c r="G20" s="55"/>
    </row>
    <row r="21" spans="1:7" ht="46.15" customHeight="1">
      <c r="A21" s="218" t="s">
        <v>413</v>
      </c>
      <c r="B21" s="218" t="s">
        <v>3</v>
      </c>
      <c r="C21" s="217" t="s">
        <v>325</v>
      </c>
      <c r="D21" s="227" t="s">
        <v>326</v>
      </c>
      <c r="E21" s="218" t="s">
        <v>327</v>
      </c>
      <c r="F21" s="218" t="s">
        <v>328</v>
      </c>
      <c r="G21" s="10"/>
    </row>
    <row r="22" spans="1:7" ht="25.5">
      <c r="A22" s="223" t="s">
        <v>329</v>
      </c>
      <c r="B22" s="406" t="s">
        <v>865</v>
      </c>
      <c r="C22" s="406">
        <v>3</v>
      </c>
      <c r="D22" s="407" t="s">
        <v>866</v>
      </c>
      <c r="E22" s="408" t="s">
        <v>673</v>
      </c>
      <c r="F22" s="406"/>
    </row>
    <row r="23" spans="1:7" ht="14.25">
      <c r="A23" s="223" t="s">
        <v>330</v>
      </c>
      <c r="B23" s="406"/>
      <c r="C23" s="406"/>
      <c r="D23" s="407"/>
      <c r="E23" s="408"/>
      <c r="F23" s="406"/>
    </row>
    <row r="24" spans="1:7" ht="14.25">
      <c r="A24" s="223" t="s">
        <v>331</v>
      </c>
      <c r="B24" s="406"/>
      <c r="C24" s="406"/>
      <c r="D24" s="407"/>
      <c r="E24" s="408"/>
      <c r="F24" s="406"/>
    </row>
    <row r="25" spans="1:7" ht="38.25">
      <c r="A25" s="223" t="s">
        <v>332</v>
      </c>
      <c r="B25" s="406" t="s">
        <v>867</v>
      </c>
      <c r="C25" s="406">
        <v>6</v>
      </c>
      <c r="D25" s="407" t="s">
        <v>868</v>
      </c>
      <c r="E25" s="574" t="s">
        <v>673</v>
      </c>
      <c r="F25" s="404"/>
    </row>
    <row r="26" spans="1:7" ht="32.25" customHeight="1">
      <c r="A26" s="223" t="s">
        <v>333</v>
      </c>
      <c r="B26" s="406" t="s">
        <v>869</v>
      </c>
      <c r="C26" s="406">
        <v>2</v>
      </c>
      <c r="D26" s="407" t="s">
        <v>870</v>
      </c>
      <c r="E26" s="574" t="s">
        <v>673</v>
      </c>
      <c r="F26" s="404"/>
    </row>
    <row r="27" spans="1:7" ht="14.25">
      <c r="A27" s="223" t="s">
        <v>334</v>
      </c>
      <c r="B27" s="406"/>
      <c r="C27" s="406"/>
      <c r="D27" s="407"/>
      <c r="E27" s="574"/>
      <c r="F27" s="404"/>
    </row>
    <row r="28" spans="1:7" ht="76.5">
      <c r="A28" s="223" t="s">
        <v>335</v>
      </c>
      <c r="B28" s="406" t="s">
        <v>871</v>
      </c>
      <c r="C28" s="406">
        <v>14</v>
      </c>
      <c r="D28" s="407" t="s">
        <v>874</v>
      </c>
      <c r="E28" s="574" t="s">
        <v>673</v>
      </c>
      <c r="F28" s="406"/>
    </row>
    <row r="29" spans="1:7" ht="14.25">
      <c r="A29" s="223" t="s">
        <v>336</v>
      </c>
      <c r="B29" s="406" t="s">
        <v>872</v>
      </c>
      <c r="C29" s="406">
        <v>3</v>
      </c>
      <c r="D29" s="407" t="s">
        <v>873</v>
      </c>
      <c r="E29" s="574" t="s">
        <v>673</v>
      </c>
      <c r="F29" s="404"/>
    </row>
    <row r="30" spans="1:7" ht="14.25">
      <c r="A30" s="223" t="s">
        <v>337</v>
      </c>
      <c r="B30" s="406"/>
      <c r="C30" s="406"/>
      <c r="D30" s="407"/>
      <c r="E30" s="574"/>
      <c r="F30" s="404"/>
    </row>
    <row r="31" spans="1:7" ht="14.25">
      <c r="A31" s="223" t="s">
        <v>338</v>
      </c>
      <c r="B31" s="406"/>
      <c r="C31" s="406"/>
      <c r="D31" s="407"/>
      <c r="E31" s="574"/>
      <c r="F31" s="404"/>
    </row>
    <row r="32" spans="1:7" ht="14.25">
      <c r="A32" s="223" t="s">
        <v>339</v>
      </c>
      <c r="B32" s="406" t="s">
        <v>875</v>
      </c>
      <c r="C32" s="406">
        <v>2</v>
      </c>
      <c r="D32" s="407" t="s">
        <v>876</v>
      </c>
      <c r="E32" s="574" t="s">
        <v>673</v>
      </c>
      <c r="F32" s="404"/>
    </row>
    <row r="33" spans="1:6" ht="14.25">
      <c r="A33" s="223" t="s">
        <v>340</v>
      </c>
      <c r="B33" s="406"/>
      <c r="C33" s="406"/>
      <c r="D33" s="407"/>
      <c r="E33" s="574"/>
      <c r="F33" s="404"/>
    </row>
    <row r="34" spans="1:6" ht="25.5">
      <c r="A34" s="223" t="s">
        <v>341</v>
      </c>
      <c r="B34" s="406"/>
      <c r="C34" s="406"/>
      <c r="D34" s="407"/>
      <c r="E34" s="574"/>
      <c r="F34" s="404"/>
    </row>
    <row r="35" spans="1:6" ht="14.25">
      <c r="A35" s="223" t="s">
        <v>342</v>
      </c>
      <c r="B35" s="406"/>
      <c r="C35" s="406"/>
      <c r="D35" s="407"/>
      <c r="E35" s="574"/>
      <c r="F35" s="404"/>
    </row>
    <row r="36" spans="1:6" ht="14.25">
      <c r="A36" s="223" t="s">
        <v>343</v>
      </c>
      <c r="B36" s="406" t="s">
        <v>877</v>
      </c>
      <c r="C36" s="406">
        <v>1</v>
      </c>
      <c r="D36" s="407" t="s">
        <v>823</v>
      </c>
      <c r="E36" s="574" t="s">
        <v>673</v>
      </c>
      <c r="F36" s="404"/>
    </row>
    <row r="37" spans="1:6" ht="14.25">
      <c r="A37" s="223" t="s">
        <v>344</v>
      </c>
      <c r="B37" s="406" t="s">
        <v>878</v>
      </c>
      <c r="C37" s="406">
        <v>1</v>
      </c>
      <c r="D37" s="407" t="s">
        <v>851</v>
      </c>
      <c r="E37" s="408" t="s">
        <v>673</v>
      </c>
      <c r="F37" s="404"/>
    </row>
    <row r="38" spans="1:6" ht="25.5">
      <c r="A38" s="223" t="s">
        <v>736</v>
      </c>
      <c r="B38" s="406" t="s">
        <v>879</v>
      </c>
      <c r="C38" s="406">
        <v>3</v>
      </c>
      <c r="D38" s="407" t="s">
        <v>880</v>
      </c>
      <c r="E38" s="408" t="s">
        <v>673</v>
      </c>
      <c r="F38" s="404"/>
    </row>
    <row r="39" spans="1:6">
      <c r="A39" s="228" t="s">
        <v>16</v>
      </c>
      <c r="B39" s="223"/>
      <c r="C39" s="228">
        <f>SUM(C22:C38)</f>
        <v>35</v>
      </c>
      <c r="D39" s="223"/>
      <c r="E39" s="223"/>
      <c r="F39" s="223"/>
    </row>
    <row r="44" spans="1:6" ht="15.75">
      <c r="C44" s="761" t="s">
        <v>908</v>
      </c>
      <c r="D44" s="761"/>
      <c r="E44" s="761"/>
      <c r="F44" s="761"/>
    </row>
    <row r="45" spans="1:6" ht="15.75">
      <c r="C45" s="761" t="s">
        <v>646</v>
      </c>
      <c r="D45" s="761"/>
      <c r="E45" s="761"/>
      <c r="F45" s="761"/>
    </row>
  </sheetData>
  <mergeCells count="7">
    <mergeCell ref="C44:F44"/>
    <mergeCell ref="C45:F45"/>
    <mergeCell ref="A1:E1"/>
    <mergeCell ref="A2:F2"/>
    <mergeCell ref="A4:G4"/>
    <mergeCell ref="A19:G19"/>
    <mergeCell ref="E20:F20"/>
  </mergeCells>
  <printOptions horizontalCentered="1"/>
  <pageMargins left="0.54" right="0.45" top="0.49" bottom="0" header="0.31496062992125984" footer="0.31496062992125984"/>
  <pageSetup paperSize="9" scale="67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Normal="70" zoomScaleSheetLayoutView="90" workbookViewId="0">
      <selection activeCell="M29" sqref="M29"/>
    </sheetView>
  </sheetViews>
  <sheetFormatPr defaultRowHeight="12.75"/>
  <cols>
    <col min="1" max="16384" width="9.140625" style="173"/>
  </cols>
  <sheetData>
    <row r="2" spans="2:8">
      <c r="B2" s="5"/>
    </row>
    <row r="4" spans="2:8" ht="12.75" customHeight="1">
      <c r="B4" s="983" t="s">
        <v>740</v>
      </c>
      <c r="C4" s="983"/>
      <c r="D4" s="983"/>
      <c r="E4" s="983"/>
      <c r="F4" s="983"/>
      <c r="G4" s="983"/>
      <c r="H4" s="983"/>
    </row>
    <row r="5" spans="2:8" ht="12.75" customHeight="1">
      <c r="B5" s="983"/>
      <c r="C5" s="983"/>
      <c r="D5" s="983"/>
      <c r="E5" s="983"/>
      <c r="F5" s="983"/>
      <c r="G5" s="983"/>
      <c r="H5" s="983"/>
    </row>
    <row r="6" spans="2:8" ht="12.75" customHeight="1">
      <c r="B6" s="983"/>
      <c r="C6" s="983"/>
      <c r="D6" s="983"/>
      <c r="E6" s="983"/>
      <c r="F6" s="983"/>
      <c r="G6" s="983"/>
      <c r="H6" s="983"/>
    </row>
    <row r="7" spans="2:8" ht="12.75" customHeight="1">
      <c r="B7" s="983"/>
      <c r="C7" s="983"/>
      <c r="D7" s="983"/>
      <c r="E7" s="983"/>
      <c r="F7" s="983"/>
      <c r="G7" s="983"/>
      <c r="H7" s="983"/>
    </row>
    <row r="8" spans="2:8" ht="12.75" customHeight="1">
      <c r="B8" s="983"/>
      <c r="C8" s="983"/>
      <c r="D8" s="983"/>
      <c r="E8" s="983"/>
      <c r="F8" s="983"/>
      <c r="G8" s="983"/>
      <c r="H8" s="983"/>
    </row>
    <row r="9" spans="2:8" ht="12.75" customHeight="1">
      <c r="B9" s="983"/>
      <c r="C9" s="983"/>
      <c r="D9" s="983"/>
      <c r="E9" s="983"/>
      <c r="F9" s="983"/>
      <c r="G9" s="983"/>
      <c r="H9" s="983"/>
    </row>
    <row r="10" spans="2:8" ht="12.75" customHeight="1">
      <c r="B10" s="983"/>
      <c r="C10" s="983"/>
      <c r="D10" s="983"/>
      <c r="E10" s="983"/>
      <c r="F10" s="983"/>
      <c r="G10" s="983"/>
      <c r="H10" s="983"/>
    </row>
    <row r="11" spans="2:8" ht="12.75" customHeight="1">
      <c r="B11" s="983"/>
      <c r="C11" s="983"/>
      <c r="D11" s="983"/>
      <c r="E11" s="983"/>
      <c r="F11" s="983"/>
      <c r="G11" s="983"/>
      <c r="H11" s="983"/>
    </row>
    <row r="12" spans="2:8" ht="12.75" customHeight="1">
      <c r="B12" s="983"/>
      <c r="C12" s="983"/>
      <c r="D12" s="983"/>
      <c r="E12" s="983"/>
      <c r="F12" s="983"/>
      <c r="G12" s="983"/>
      <c r="H12" s="983"/>
    </row>
    <row r="13" spans="2:8" ht="12.75" customHeight="1">
      <c r="B13" s="983"/>
      <c r="C13" s="983"/>
      <c r="D13" s="983"/>
      <c r="E13" s="983"/>
      <c r="F13" s="983"/>
      <c r="G13" s="983"/>
      <c r="H13" s="983"/>
    </row>
  </sheetData>
  <mergeCells count="1">
    <mergeCell ref="B4:H13"/>
  </mergeCells>
  <printOptions horizontalCentered="1"/>
  <pageMargins left="0.70866141732283472" right="0.70866141732283472" top="2.08" bottom="0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topLeftCell="A25" zoomScaleNormal="70" zoomScaleSheetLayoutView="100" workbookViewId="0">
      <selection activeCell="K36" sqref="K36"/>
    </sheetView>
  </sheetViews>
  <sheetFormatPr defaultRowHeight="14.25"/>
  <cols>
    <col min="1" max="1" width="4.7109375" style="469" customWidth="1"/>
    <col min="2" max="2" width="16.85546875" style="469" customWidth="1"/>
    <col min="3" max="3" width="11.7109375" style="469" customWidth="1"/>
    <col min="4" max="4" width="12" style="469" customWidth="1"/>
    <col min="5" max="5" width="12.140625" style="469" customWidth="1"/>
    <col min="6" max="6" width="17.42578125" style="469" customWidth="1"/>
    <col min="7" max="7" width="12.42578125" style="469" customWidth="1"/>
    <col min="8" max="8" width="16" style="469" customWidth="1"/>
    <col min="9" max="9" width="12.7109375" style="469" customWidth="1"/>
    <col min="10" max="10" width="15" style="469" customWidth="1"/>
    <col min="11" max="11" width="16" style="469" customWidth="1"/>
    <col min="12" max="12" width="11.85546875" style="469" customWidth="1"/>
    <col min="13" max="256" width="9.140625" style="469"/>
    <col min="257" max="257" width="4.7109375" style="469" customWidth="1"/>
    <col min="258" max="258" width="16.85546875" style="469" customWidth="1"/>
    <col min="259" max="259" width="11.7109375" style="469" customWidth="1"/>
    <col min="260" max="260" width="12" style="469" customWidth="1"/>
    <col min="261" max="261" width="12.140625" style="469" customWidth="1"/>
    <col min="262" max="262" width="17.42578125" style="469" customWidth="1"/>
    <col min="263" max="263" width="12.42578125" style="469" customWidth="1"/>
    <col min="264" max="264" width="16" style="469" customWidth="1"/>
    <col min="265" max="265" width="12.7109375" style="469" customWidth="1"/>
    <col min="266" max="266" width="15" style="469" customWidth="1"/>
    <col min="267" max="267" width="16" style="469" customWidth="1"/>
    <col min="268" max="268" width="11.85546875" style="469" customWidth="1"/>
    <col min="269" max="512" width="9.140625" style="469"/>
    <col min="513" max="513" width="4.7109375" style="469" customWidth="1"/>
    <col min="514" max="514" width="16.85546875" style="469" customWidth="1"/>
    <col min="515" max="515" width="11.7109375" style="469" customWidth="1"/>
    <col min="516" max="516" width="12" style="469" customWidth="1"/>
    <col min="517" max="517" width="12.140625" style="469" customWidth="1"/>
    <col min="518" max="518" width="17.42578125" style="469" customWidth="1"/>
    <col min="519" max="519" width="12.42578125" style="469" customWidth="1"/>
    <col min="520" max="520" width="16" style="469" customWidth="1"/>
    <col min="521" max="521" width="12.7109375" style="469" customWidth="1"/>
    <col min="522" max="522" width="15" style="469" customWidth="1"/>
    <col min="523" max="523" width="16" style="469" customWidth="1"/>
    <col min="524" max="524" width="11.85546875" style="469" customWidth="1"/>
    <col min="525" max="768" width="9.140625" style="469"/>
    <col min="769" max="769" width="4.7109375" style="469" customWidth="1"/>
    <col min="770" max="770" width="16.85546875" style="469" customWidth="1"/>
    <col min="771" max="771" width="11.7109375" style="469" customWidth="1"/>
    <col min="772" max="772" width="12" style="469" customWidth="1"/>
    <col min="773" max="773" width="12.140625" style="469" customWidth="1"/>
    <col min="774" max="774" width="17.42578125" style="469" customWidth="1"/>
    <col min="775" max="775" width="12.42578125" style="469" customWidth="1"/>
    <col min="776" max="776" width="16" style="469" customWidth="1"/>
    <col min="777" max="777" width="12.7109375" style="469" customWidth="1"/>
    <col min="778" max="778" width="15" style="469" customWidth="1"/>
    <col min="779" max="779" width="16" style="469" customWidth="1"/>
    <col min="780" max="780" width="11.85546875" style="469" customWidth="1"/>
    <col min="781" max="1024" width="9.140625" style="469"/>
    <col min="1025" max="1025" width="4.7109375" style="469" customWidth="1"/>
    <col min="1026" max="1026" width="16.85546875" style="469" customWidth="1"/>
    <col min="1027" max="1027" width="11.7109375" style="469" customWidth="1"/>
    <col min="1028" max="1028" width="12" style="469" customWidth="1"/>
    <col min="1029" max="1029" width="12.140625" style="469" customWidth="1"/>
    <col min="1030" max="1030" width="17.42578125" style="469" customWidth="1"/>
    <col min="1031" max="1031" width="12.42578125" style="469" customWidth="1"/>
    <col min="1032" max="1032" width="16" style="469" customWidth="1"/>
    <col min="1033" max="1033" width="12.7109375" style="469" customWidth="1"/>
    <col min="1034" max="1034" width="15" style="469" customWidth="1"/>
    <col min="1035" max="1035" width="16" style="469" customWidth="1"/>
    <col min="1036" max="1036" width="11.85546875" style="469" customWidth="1"/>
    <col min="1037" max="1280" width="9.140625" style="469"/>
    <col min="1281" max="1281" width="4.7109375" style="469" customWidth="1"/>
    <col min="1282" max="1282" width="16.85546875" style="469" customWidth="1"/>
    <col min="1283" max="1283" width="11.7109375" style="469" customWidth="1"/>
    <col min="1284" max="1284" width="12" style="469" customWidth="1"/>
    <col min="1285" max="1285" width="12.140625" style="469" customWidth="1"/>
    <col min="1286" max="1286" width="17.42578125" style="469" customWidth="1"/>
    <col min="1287" max="1287" width="12.42578125" style="469" customWidth="1"/>
    <col min="1288" max="1288" width="16" style="469" customWidth="1"/>
    <col min="1289" max="1289" width="12.7109375" style="469" customWidth="1"/>
    <col min="1290" max="1290" width="15" style="469" customWidth="1"/>
    <col min="1291" max="1291" width="16" style="469" customWidth="1"/>
    <col min="1292" max="1292" width="11.85546875" style="469" customWidth="1"/>
    <col min="1293" max="1536" width="9.140625" style="469"/>
    <col min="1537" max="1537" width="4.7109375" style="469" customWidth="1"/>
    <col min="1538" max="1538" width="16.85546875" style="469" customWidth="1"/>
    <col min="1539" max="1539" width="11.7109375" style="469" customWidth="1"/>
    <col min="1540" max="1540" width="12" style="469" customWidth="1"/>
    <col min="1541" max="1541" width="12.140625" style="469" customWidth="1"/>
    <col min="1542" max="1542" width="17.42578125" style="469" customWidth="1"/>
    <col min="1543" max="1543" width="12.42578125" style="469" customWidth="1"/>
    <col min="1544" max="1544" width="16" style="469" customWidth="1"/>
    <col min="1545" max="1545" width="12.7109375" style="469" customWidth="1"/>
    <col min="1546" max="1546" width="15" style="469" customWidth="1"/>
    <col min="1547" max="1547" width="16" style="469" customWidth="1"/>
    <col min="1548" max="1548" width="11.85546875" style="469" customWidth="1"/>
    <col min="1549" max="1792" width="9.140625" style="469"/>
    <col min="1793" max="1793" width="4.7109375" style="469" customWidth="1"/>
    <col min="1794" max="1794" width="16.85546875" style="469" customWidth="1"/>
    <col min="1795" max="1795" width="11.7109375" style="469" customWidth="1"/>
    <col min="1796" max="1796" width="12" style="469" customWidth="1"/>
    <col min="1797" max="1797" width="12.140625" style="469" customWidth="1"/>
    <col min="1798" max="1798" width="17.42578125" style="469" customWidth="1"/>
    <col min="1799" max="1799" width="12.42578125" style="469" customWidth="1"/>
    <col min="1800" max="1800" width="16" style="469" customWidth="1"/>
    <col min="1801" max="1801" width="12.7109375" style="469" customWidth="1"/>
    <col min="1802" max="1802" width="15" style="469" customWidth="1"/>
    <col min="1803" max="1803" width="16" style="469" customWidth="1"/>
    <col min="1804" max="1804" width="11.85546875" style="469" customWidth="1"/>
    <col min="1805" max="2048" width="9.140625" style="469"/>
    <col min="2049" max="2049" width="4.7109375" style="469" customWidth="1"/>
    <col min="2050" max="2050" width="16.85546875" style="469" customWidth="1"/>
    <col min="2051" max="2051" width="11.7109375" style="469" customWidth="1"/>
    <col min="2052" max="2052" width="12" style="469" customWidth="1"/>
    <col min="2053" max="2053" width="12.140625" style="469" customWidth="1"/>
    <col min="2054" max="2054" width="17.42578125" style="469" customWidth="1"/>
    <col min="2055" max="2055" width="12.42578125" style="469" customWidth="1"/>
    <col min="2056" max="2056" width="16" style="469" customWidth="1"/>
    <col min="2057" max="2057" width="12.7109375" style="469" customWidth="1"/>
    <col min="2058" max="2058" width="15" style="469" customWidth="1"/>
    <col min="2059" max="2059" width="16" style="469" customWidth="1"/>
    <col min="2060" max="2060" width="11.85546875" style="469" customWidth="1"/>
    <col min="2061" max="2304" width="9.140625" style="469"/>
    <col min="2305" max="2305" width="4.7109375" style="469" customWidth="1"/>
    <col min="2306" max="2306" width="16.85546875" style="469" customWidth="1"/>
    <col min="2307" max="2307" width="11.7109375" style="469" customWidth="1"/>
    <col min="2308" max="2308" width="12" style="469" customWidth="1"/>
    <col min="2309" max="2309" width="12.140625" style="469" customWidth="1"/>
    <col min="2310" max="2310" width="17.42578125" style="469" customWidth="1"/>
    <col min="2311" max="2311" width="12.42578125" style="469" customWidth="1"/>
    <col min="2312" max="2312" width="16" style="469" customWidth="1"/>
    <col min="2313" max="2313" width="12.7109375" style="469" customWidth="1"/>
    <col min="2314" max="2314" width="15" style="469" customWidth="1"/>
    <col min="2315" max="2315" width="16" style="469" customWidth="1"/>
    <col min="2316" max="2316" width="11.85546875" style="469" customWidth="1"/>
    <col min="2317" max="2560" width="9.140625" style="469"/>
    <col min="2561" max="2561" width="4.7109375" style="469" customWidth="1"/>
    <col min="2562" max="2562" width="16.85546875" style="469" customWidth="1"/>
    <col min="2563" max="2563" width="11.7109375" style="469" customWidth="1"/>
    <col min="2564" max="2564" width="12" style="469" customWidth="1"/>
    <col min="2565" max="2565" width="12.140625" style="469" customWidth="1"/>
    <col min="2566" max="2566" width="17.42578125" style="469" customWidth="1"/>
    <col min="2567" max="2567" width="12.42578125" style="469" customWidth="1"/>
    <col min="2568" max="2568" width="16" style="469" customWidth="1"/>
    <col min="2569" max="2569" width="12.7109375" style="469" customWidth="1"/>
    <col min="2570" max="2570" width="15" style="469" customWidth="1"/>
    <col min="2571" max="2571" width="16" style="469" customWidth="1"/>
    <col min="2572" max="2572" width="11.85546875" style="469" customWidth="1"/>
    <col min="2573" max="2816" width="9.140625" style="469"/>
    <col min="2817" max="2817" width="4.7109375" style="469" customWidth="1"/>
    <col min="2818" max="2818" width="16.85546875" style="469" customWidth="1"/>
    <col min="2819" max="2819" width="11.7109375" style="469" customWidth="1"/>
    <col min="2820" max="2820" width="12" style="469" customWidth="1"/>
    <col min="2821" max="2821" width="12.140625" style="469" customWidth="1"/>
    <col min="2822" max="2822" width="17.42578125" style="469" customWidth="1"/>
    <col min="2823" max="2823" width="12.42578125" style="469" customWidth="1"/>
    <col min="2824" max="2824" width="16" style="469" customWidth="1"/>
    <col min="2825" max="2825" width="12.7109375" style="469" customWidth="1"/>
    <col min="2826" max="2826" width="15" style="469" customWidth="1"/>
    <col min="2827" max="2827" width="16" style="469" customWidth="1"/>
    <col min="2828" max="2828" width="11.85546875" style="469" customWidth="1"/>
    <col min="2829" max="3072" width="9.140625" style="469"/>
    <col min="3073" max="3073" width="4.7109375" style="469" customWidth="1"/>
    <col min="3074" max="3074" width="16.85546875" style="469" customWidth="1"/>
    <col min="3075" max="3075" width="11.7109375" style="469" customWidth="1"/>
    <col min="3076" max="3076" width="12" style="469" customWidth="1"/>
    <col min="3077" max="3077" width="12.140625" style="469" customWidth="1"/>
    <col min="3078" max="3078" width="17.42578125" style="469" customWidth="1"/>
    <col min="3079" max="3079" width="12.42578125" style="469" customWidth="1"/>
    <col min="3080" max="3080" width="16" style="469" customWidth="1"/>
    <col min="3081" max="3081" width="12.7109375" style="469" customWidth="1"/>
    <col min="3082" max="3082" width="15" style="469" customWidth="1"/>
    <col min="3083" max="3083" width="16" style="469" customWidth="1"/>
    <col min="3084" max="3084" width="11.85546875" style="469" customWidth="1"/>
    <col min="3085" max="3328" width="9.140625" style="469"/>
    <col min="3329" max="3329" width="4.7109375" style="469" customWidth="1"/>
    <col min="3330" max="3330" width="16.85546875" style="469" customWidth="1"/>
    <col min="3331" max="3331" width="11.7109375" style="469" customWidth="1"/>
    <col min="3332" max="3332" width="12" style="469" customWidth="1"/>
    <col min="3333" max="3333" width="12.140625" style="469" customWidth="1"/>
    <col min="3334" max="3334" width="17.42578125" style="469" customWidth="1"/>
    <col min="3335" max="3335" width="12.42578125" style="469" customWidth="1"/>
    <col min="3336" max="3336" width="16" style="469" customWidth="1"/>
    <col min="3337" max="3337" width="12.7109375" style="469" customWidth="1"/>
    <col min="3338" max="3338" width="15" style="469" customWidth="1"/>
    <col min="3339" max="3339" width="16" style="469" customWidth="1"/>
    <col min="3340" max="3340" width="11.85546875" style="469" customWidth="1"/>
    <col min="3341" max="3584" width="9.140625" style="469"/>
    <col min="3585" max="3585" width="4.7109375" style="469" customWidth="1"/>
    <col min="3586" max="3586" width="16.85546875" style="469" customWidth="1"/>
    <col min="3587" max="3587" width="11.7109375" style="469" customWidth="1"/>
    <col min="3588" max="3588" width="12" style="469" customWidth="1"/>
    <col min="3589" max="3589" width="12.140625" style="469" customWidth="1"/>
    <col min="3590" max="3590" width="17.42578125" style="469" customWidth="1"/>
    <col min="3591" max="3591" width="12.42578125" style="469" customWidth="1"/>
    <col min="3592" max="3592" width="16" style="469" customWidth="1"/>
    <col min="3593" max="3593" width="12.7109375" style="469" customWidth="1"/>
    <col min="3594" max="3594" width="15" style="469" customWidth="1"/>
    <col min="3595" max="3595" width="16" style="469" customWidth="1"/>
    <col min="3596" max="3596" width="11.85546875" style="469" customWidth="1"/>
    <col min="3597" max="3840" width="9.140625" style="469"/>
    <col min="3841" max="3841" width="4.7109375" style="469" customWidth="1"/>
    <col min="3842" max="3842" width="16.85546875" style="469" customWidth="1"/>
    <col min="3843" max="3843" width="11.7109375" style="469" customWidth="1"/>
    <col min="3844" max="3844" width="12" style="469" customWidth="1"/>
    <col min="3845" max="3845" width="12.140625" style="469" customWidth="1"/>
    <col min="3846" max="3846" width="17.42578125" style="469" customWidth="1"/>
    <col min="3847" max="3847" width="12.42578125" style="469" customWidth="1"/>
    <col min="3848" max="3848" width="16" style="469" customWidth="1"/>
    <col min="3849" max="3849" width="12.7109375" style="469" customWidth="1"/>
    <col min="3850" max="3850" width="15" style="469" customWidth="1"/>
    <col min="3851" max="3851" width="16" style="469" customWidth="1"/>
    <col min="3852" max="3852" width="11.85546875" style="469" customWidth="1"/>
    <col min="3853" max="4096" width="9.140625" style="469"/>
    <col min="4097" max="4097" width="4.7109375" style="469" customWidth="1"/>
    <col min="4098" max="4098" width="16.85546875" style="469" customWidth="1"/>
    <col min="4099" max="4099" width="11.7109375" style="469" customWidth="1"/>
    <col min="4100" max="4100" width="12" style="469" customWidth="1"/>
    <col min="4101" max="4101" width="12.140625" style="469" customWidth="1"/>
    <col min="4102" max="4102" width="17.42578125" style="469" customWidth="1"/>
    <col min="4103" max="4103" width="12.42578125" style="469" customWidth="1"/>
    <col min="4104" max="4104" width="16" style="469" customWidth="1"/>
    <col min="4105" max="4105" width="12.7109375" style="469" customWidth="1"/>
    <col min="4106" max="4106" width="15" style="469" customWidth="1"/>
    <col min="4107" max="4107" width="16" style="469" customWidth="1"/>
    <col min="4108" max="4108" width="11.85546875" style="469" customWidth="1"/>
    <col min="4109" max="4352" width="9.140625" style="469"/>
    <col min="4353" max="4353" width="4.7109375" style="469" customWidth="1"/>
    <col min="4354" max="4354" width="16.85546875" style="469" customWidth="1"/>
    <col min="4355" max="4355" width="11.7109375" style="469" customWidth="1"/>
    <col min="4356" max="4356" width="12" style="469" customWidth="1"/>
    <col min="4357" max="4357" width="12.140625" style="469" customWidth="1"/>
    <col min="4358" max="4358" width="17.42578125" style="469" customWidth="1"/>
    <col min="4359" max="4359" width="12.42578125" style="469" customWidth="1"/>
    <col min="4360" max="4360" width="16" style="469" customWidth="1"/>
    <col min="4361" max="4361" width="12.7109375" style="469" customWidth="1"/>
    <col min="4362" max="4362" width="15" style="469" customWidth="1"/>
    <col min="4363" max="4363" width="16" style="469" customWidth="1"/>
    <col min="4364" max="4364" width="11.85546875" style="469" customWidth="1"/>
    <col min="4365" max="4608" width="9.140625" style="469"/>
    <col min="4609" max="4609" width="4.7109375" style="469" customWidth="1"/>
    <col min="4610" max="4610" width="16.85546875" style="469" customWidth="1"/>
    <col min="4611" max="4611" width="11.7109375" style="469" customWidth="1"/>
    <col min="4612" max="4612" width="12" style="469" customWidth="1"/>
    <col min="4613" max="4613" width="12.140625" style="469" customWidth="1"/>
    <col min="4614" max="4614" width="17.42578125" style="469" customWidth="1"/>
    <col min="4615" max="4615" width="12.42578125" style="469" customWidth="1"/>
    <col min="4616" max="4616" width="16" style="469" customWidth="1"/>
    <col min="4617" max="4617" width="12.7109375" style="469" customWidth="1"/>
    <col min="4618" max="4618" width="15" style="469" customWidth="1"/>
    <col min="4619" max="4619" width="16" style="469" customWidth="1"/>
    <col min="4620" max="4620" width="11.85546875" style="469" customWidth="1"/>
    <col min="4621" max="4864" width="9.140625" style="469"/>
    <col min="4865" max="4865" width="4.7109375" style="469" customWidth="1"/>
    <col min="4866" max="4866" width="16.85546875" style="469" customWidth="1"/>
    <col min="4867" max="4867" width="11.7109375" style="469" customWidth="1"/>
    <col min="4868" max="4868" width="12" style="469" customWidth="1"/>
    <col min="4869" max="4869" width="12.140625" style="469" customWidth="1"/>
    <col min="4870" max="4870" width="17.42578125" style="469" customWidth="1"/>
    <col min="4871" max="4871" width="12.42578125" style="469" customWidth="1"/>
    <col min="4872" max="4872" width="16" style="469" customWidth="1"/>
    <col min="4873" max="4873" width="12.7109375" style="469" customWidth="1"/>
    <col min="4874" max="4874" width="15" style="469" customWidth="1"/>
    <col min="4875" max="4875" width="16" style="469" customWidth="1"/>
    <col min="4876" max="4876" width="11.85546875" style="469" customWidth="1"/>
    <col min="4877" max="5120" width="9.140625" style="469"/>
    <col min="5121" max="5121" width="4.7109375" style="469" customWidth="1"/>
    <col min="5122" max="5122" width="16.85546875" style="469" customWidth="1"/>
    <col min="5123" max="5123" width="11.7109375" style="469" customWidth="1"/>
    <col min="5124" max="5124" width="12" style="469" customWidth="1"/>
    <col min="5125" max="5125" width="12.140625" style="469" customWidth="1"/>
    <col min="5126" max="5126" width="17.42578125" style="469" customWidth="1"/>
    <col min="5127" max="5127" width="12.42578125" style="469" customWidth="1"/>
    <col min="5128" max="5128" width="16" style="469" customWidth="1"/>
    <col min="5129" max="5129" width="12.7109375" style="469" customWidth="1"/>
    <col min="5130" max="5130" width="15" style="469" customWidth="1"/>
    <col min="5131" max="5131" width="16" style="469" customWidth="1"/>
    <col min="5132" max="5132" width="11.85546875" style="469" customWidth="1"/>
    <col min="5133" max="5376" width="9.140625" style="469"/>
    <col min="5377" max="5377" width="4.7109375" style="469" customWidth="1"/>
    <col min="5378" max="5378" width="16.85546875" style="469" customWidth="1"/>
    <col min="5379" max="5379" width="11.7109375" style="469" customWidth="1"/>
    <col min="5380" max="5380" width="12" style="469" customWidth="1"/>
    <col min="5381" max="5381" width="12.140625" style="469" customWidth="1"/>
    <col min="5382" max="5382" width="17.42578125" style="469" customWidth="1"/>
    <col min="5383" max="5383" width="12.42578125" style="469" customWidth="1"/>
    <col min="5384" max="5384" width="16" style="469" customWidth="1"/>
    <col min="5385" max="5385" width="12.7109375" style="469" customWidth="1"/>
    <col min="5386" max="5386" width="15" style="469" customWidth="1"/>
    <col min="5387" max="5387" width="16" style="469" customWidth="1"/>
    <col min="5388" max="5388" width="11.85546875" style="469" customWidth="1"/>
    <col min="5389" max="5632" width="9.140625" style="469"/>
    <col min="5633" max="5633" width="4.7109375" style="469" customWidth="1"/>
    <col min="5634" max="5634" width="16.85546875" style="469" customWidth="1"/>
    <col min="5635" max="5635" width="11.7109375" style="469" customWidth="1"/>
    <col min="5636" max="5636" width="12" style="469" customWidth="1"/>
    <col min="5637" max="5637" width="12.140625" style="469" customWidth="1"/>
    <col min="5638" max="5638" width="17.42578125" style="469" customWidth="1"/>
    <col min="5639" max="5639" width="12.42578125" style="469" customWidth="1"/>
    <col min="5640" max="5640" width="16" style="469" customWidth="1"/>
    <col min="5641" max="5641" width="12.7109375" style="469" customWidth="1"/>
    <col min="5642" max="5642" width="15" style="469" customWidth="1"/>
    <col min="5643" max="5643" width="16" style="469" customWidth="1"/>
    <col min="5644" max="5644" width="11.85546875" style="469" customWidth="1"/>
    <col min="5645" max="5888" width="9.140625" style="469"/>
    <col min="5889" max="5889" width="4.7109375" style="469" customWidth="1"/>
    <col min="5890" max="5890" width="16.85546875" style="469" customWidth="1"/>
    <col min="5891" max="5891" width="11.7109375" style="469" customWidth="1"/>
    <col min="5892" max="5892" width="12" style="469" customWidth="1"/>
    <col min="5893" max="5893" width="12.140625" style="469" customWidth="1"/>
    <col min="5894" max="5894" width="17.42578125" style="469" customWidth="1"/>
    <col min="5895" max="5895" width="12.42578125" style="469" customWidth="1"/>
    <col min="5896" max="5896" width="16" style="469" customWidth="1"/>
    <col min="5897" max="5897" width="12.7109375" style="469" customWidth="1"/>
    <col min="5898" max="5898" width="15" style="469" customWidth="1"/>
    <col min="5899" max="5899" width="16" style="469" customWidth="1"/>
    <col min="5900" max="5900" width="11.85546875" style="469" customWidth="1"/>
    <col min="5901" max="6144" width="9.140625" style="469"/>
    <col min="6145" max="6145" width="4.7109375" style="469" customWidth="1"/>
    <col min="6146" max="6146" width="16.85546875" style="469" customWidth="1"/>
    <col min="6147" max="6147" width="11.7109375" style="469" customWidth="1"/>
    <col min="6148" max="6148" width="12" style="469" customWidth="1"/>
    <col min="6149" max="6149" width="12.140625" style="469" customWidth="1"/>
    <col min="6150" max="6150" width="17.42578125" style="469" customWidth="1"/>
    <col min="6151" max="6151" width="12.42578125" style="469" customWidth="1"/>
    <col min="6152" max="6152" width="16" style="469" customWidth="1"/>
    <col min="6153" max="6153" width="12.7109375" style="469" customWidth="1"/>
    <col min="6154" max="6154" width="15" style="469" customWidth="1"/>
    <col min="6155" max="6155" width="16" style="469" customWidth="1"/>
    <col min="6156" max="6156" width="11.85546875" style="469" customWidth="1"/>
    <col min="6157" max="6400" width="9.140625" style="469"/>
    <col min="6401" max="6401" width="4.7109375" style="469" customWidth="1"/>
    <col min="6402" max="6402" width="16.85546875" style="469" customWidth="1"/>
    <col min="6403" max="6403" width="11.7109375" style="469" customWidth="1"/>
    <col min="6404" max="6404" width="12" style="469" customWidth="1"/>
    <col min="6405" max="6405" width="12.140625" style="469" customWidth="1"/>
    <col min="6406" max="6406" width="17.42578125" style="469" customWidth="1"/>
    <col min="6407" max="6407" width="12.42578125" style="469" customWidth="1"/>
    <col min="6408" max="6408" width="16" style="469" customWidth="1"/>
    <col min="6409" max="6409" width="12.7109375" style="469" customWidth="1"/>
    <col min="6410" max="6410" width="15" style="469" customWidth="1"/>
    <col min="6411" max="6411" width="16" style="469" customWidth="1"/>
    <col min="6412" max="6412" width="11.85546875" style="469" customWidth="1"/>
    <col min="6413" max="6656" width="9.140625" style="469"/>
    <col min="6657" max="6657" width="4.7109375" style="469" customWidth="1"/>
    <col min="6658" max="6658" width="16.85546875" style="469" customWidth="1"/>
    <col min="6659" max="6659" width="11.7109375" style="469" customWidth="1"/>
    <col min="6660" max="6660" width="12" style="469" customWidth="1"/>
    <col min="6661" max="6661" width="12.140625" style="469" customWidth="1"/>
    <col min="6662" max="6662" width="17.42578125" style="469" customWidth="1"/>
    <col min="6663" max="6663" width="12.42578125" style="469" customWidth="1"/>
    <col min="6664" max="6664" width="16" style="469" customWidth="1"/>
    <col min="6665" max="6665" width="12.7109375" style="469" customWidth="1"/>
    <col min="6666" max="6666" width="15" style="469" customWidth="1"/>
    <col min="6667" max="6667" width="16" style="469" customWidth="1"/>
    <col min="6668" max="6668" width="11.85546875" style="469" customWidth="1"/>
    <col min="6669" max="6912" width="9.140625" style="469"/>
    <col min="6913" max="6913" width="4.7109375" style="469" customWidth="1"/>
    <col min="6914" max="6914" width="16.85546875" style="469" customWidth="1"/>
    <col min="6915" max="6915" width="11.7109375" style="469" customWidth="1"/>
    <col min="6916" max="6916" width="12" style="469" customWidth="1"/>
    <col min="6917" max="6917" width="12.140625" style="469" customWidth="1"/>
    <col min="6918" max="6918" width="17.42578125" style="469" customWidth="1"/>
    <col min="6919" max="6919" width="12.42578125" style="469" customWidth="1"/>
    <col min="6920" max="6920" width="16" style="469" customWidth="1"/>
    <col min="6921" max="6921" width="12.7109375" style="469" customWidth="1"/>
    <col min="6922" max="6922" width="15" style="469" customWidth="1"/>
    <col min="6923" max="6923" width="16" style="469" customWidth="1"/>
    <col min="6924" max="6924" width="11.85546875" style="469" customWidth="1"/>
    <col min="6925" max="7168" width="9.140625" style="469"/>
    <col min="7169" max="7169" width="4.7109375" style="469" customWidth="1"/>
    <col min="7170" max="7170" width="16.85546875" style="469" customWidth="1"/>
    <col min="7171" max="7171" width="11.7109375" style="469" customWidth="1"/>
    <col min="7172" max="7172" width="12" style="469" customWidth="1"/>
    <col min="7173" max="7173" width="12.140625" style="469" customWidth="1"/>
    <col min="7174" max="7174" width="17.42578125" style="469" customWidth="1"/>
    <col min="7175" max="7175" width="12.42578125" style="469" customWidth="1"/>
    <col min="7176" max="7176" width="16" style="469" customWidth="1"/>
    <col min="7177" max="7177" width="12.7109375" style="469" customWidth="1"/>
    <col min="7178" max="7178" width="15" style="469" customWidth="1"/>
    <col min="7179" max="7179" width="16" style="469" customWidth="1"/>
    <col min="7180" max="7180" width="11.85546875" style="469" customWidth="1"/>
    <col min="7181" max="7424" width="9.140625" style="469"/>
    <col min="7425" max="7425" width="4.7109375" style="469" customWidth="1"/>
    <col min="7426" max="7426" width="16.85546875" style="469" customWidth="1"/>
    <col min="7427" max="7427" width="11.7109375" style="469" customWidth="1"/>
    <col min="7428" max="7428" width="12" style="469" customWidth="1"/>
    <col min="7429" max="7429" width="12.140625" style="469" customWidth="1"/>
    <col min="7430" max="7430" width="17.42578125" style="469" customWidth="1"/>
    <col min="7431" max="7431" width="12.42578125" style="469" customWidth="1"/>
    <col min="7432" max="7432" width="16" style="469" customWidth="1"/>
    <col min="7433" max="7433" width="12.7109375" style="469" customWidth="1"/>
    <col min="7434" max="7434" width="15" style="469" customWidth="1"/>
    <col min="7435" max="7435" width="16" style="469" customWidth="1"/>
    <col min="7436" max="7436" width="11.85546875" style="469" customWidth="1"/>
    <col min="7437" max="7680" width="9.140625" style="469"/>
    <col min="7681" max="7681" width="4.7109375" style="469" customWidth="1"/>
    <col min="7682" max="7682" width="16.85546875" style="469" customWidth="1"/>
    <col min="7683" max="7683" width="11.7109375" style="469" customWidth="1"/>
    <col min="7684" max="7684" width="12" style="469" customWidth="1"/>
    <col min="7685" max="7685" width="12.140625" style="469" customWidth="1"/>
    <col min="7686" max="7686" width="17.42578125" style="469" customWidth="1"/>
    <col min="7687" max="7687" width="12.42578125" style="469" customWidth="1"/>
    <col min="7688" max="7688" width="16" style="469" customWidth="1"/>
    <col min="7689" max="7689" width="12.7109375" style="469" customWidth="1"/>
    <col min="7690" max="7690" width="15" style="469" customWidth="1"/>
    <col min="7691" max="7691" width="16" style="469" customWidth="1"/>
    <col min="7692" max="7692" width="11.85546875" style="469" customWidth="1"/>
    <col min="7693" max="7936" width="9.140625" style="469"/>
    <col min="7937" max="7937" width="4.7109375" style="469" customWidth="1"/>
    <col min="7938" max="7938" width="16.85546875" style="469" customWidth="1"/>
    <col min="7939" max="7939" width="11.7109375" style="469" customWidth="1"/>
    <col min="7940" max="7940" width="12" style="469" customWidth="1"/>
    <col min="7941" max="7941" width="12.140625" style="469" customWidth="1"/>
    <col min="7942" max="7942" width="17.42578125" style="469" customWidth="1"/>
    <col min="7943" max="7943" width="12.42578125" style="469" customWidth="1"/>
    <col min="7944" max="7944" width="16" style="469" customWidth="1"/>
    <col min="7945" max="7945" width="12.7109375" style="469" customWidth="1"/>
    <col min="7946" max="7946" width="15" style="469" customWidth="1"/>
    <col min="7947" max="7947" width="16" style="469" customWidth="1"/>
    <col min="7948" max="7948" width="11.85546875" style="469" customWidth="1"/>
    <col min="7949" max="8192" width="9.140625" style="469"/>
    <col min="8193" max="8193" width="4.7109375" style="469" customWidth="1"/>
    <col min="8194" max="8194" width="16.85546875" style="469" customWidth="1"/>
    <col min="8195" max="8195" width="11.7109375" style="469" customWidth="1"/>
    <col min="8196" max="8196" width="12" style="469" customWidth="1"/>
    <col min="8197" max="8197" width="12.140625" style="469" customWidth="1"/>
    <col min="8198" max="8198" width="17.42578125" style="469" customWidth="1"/>
    <col min="8199" max="8199" width="12.42578125" style="469" customWidth="1"/>
    <col min="8200" max="8200" width="16" style="469" customWidth="1"/>
    <col min="8201" max="8201" width="12.7109375" style="469" customWidth="1"/>
    <col min="8202" max="8202" width="15" style="469" customWidth="1"/>
    <col min="8203" max="8203" width="16" style="469" customWidth="1"/>
    <col min="8204" max="8204" width="11.85546875" style="469" customWidth="1"/>
    <col min="8205" max="8448" width="9.140625" style="469"/>
    <col min="8449" max="8449" width="4.7109375" style="469" customWidth="1"/>
    <col min="8450" max="8450" width="16.85546875" style="469" customWidth="1"/>
    <col min="8451" max="8451" width="11.7109375" style="469" customWidth="1"/>
    <col min="8452" max="8452" width="12" style="469" customWidth="1"/>
    <col min="8453" max="8453" width="12.140625" style="469" customWidth="1"/>
    <col min="8454" max="8454" width="17.42578125" style="469" customWidth="1"/>
    <col min="8455" max="8455" width="12.42578125" style="469" customWidth="1"/>
    <col min="8456" max="8456" width="16" style="469" customWidth="1"/>
    <col min="8457" max="8457" width="12.7109375" style="469" customWidth="1"/>
    <col min="8458" max="8458" width="15" style="469" customWidth="1"/>
    <col min="8459" max="8459" width="16" style="469" customWidth="1"/>
    <col min="8460" max="8460" width="11.85546875" style="469" customWidth="1"/>
    <col min="8461" max="8704" width="9.140625" style="469"/>
    <col min="8705" max="8705" width="4.7109375" style="469" customWidth="1"/>
    <col min="8706" max="8706" width="16.85546875" style="469" customWidth="1"/>
    <col min="8707" max="8707" width="11.7109375" style="469" customWidth="1"/>
    <col min="8708" max="8708" width="12" style="469" customWidth="1"/>
    <col min="8709" max="8709" width="12.140625" style="469" customWidth="1"/>
    <col min="8710" max="8710" width="17.42578125" style="469" customWidth="1"/>
    <col min="8711" max="8711" width="12.42578125" style="469" customWidth="1"/>
    <col min="8712" max="8712" width="16" style="469" customWidth="1"/>
    <col min="8713" max="8713" width="12.7109375" style="469" customWidth="1"/>
    <col min="8714" max="8714" width="15" style="469" customWidth="1"/>
    <col min="8715" max="8715" width="16" style="469" customWidth="1"/>
    <col min="8716" max="8716" width="11.85546875" style="469" customWidth="1"/>
    <col min="8717" max="8960" width="9.140625" style="469"/>
    <col min="8961" max="8961" width="4.7109375" style="469" customWidth="1"/>
    <col min="8962" max="8962" width="16.85546875" style="469" customWidth="1"/>
    <col min="8963" max="8963" width="11.7109375" style="469" customWidth="1"/>
    <col min="8964" max="8964" width="12" style="469" customWidth="1"/>
    <col min="8965" max="8965" width="12.140625" style="469" customWidth="1"/>
    <col min="8966" max="8966" width="17.42578125" style="469" customWidth="1"/>
    <col min="8967" max="8967" width="12.42578125" style="469" customWidth="1"/>
    <col min="8968" max="8968" width="16" style="469" customWidth="1"/>
    <col min="8969" max="8969" width="12.7109375" style="469" customWidth="1"/>
    <col min="8970" max="8970" width="15" style="469" customWidth="1"/>
    <col min="8971" max="8971" width="16" style="469" customWidth="1"/>
    <col min="8972" max="8972" width="11.85546875" style="469" customWidth="1"/>
    <col min="8973" max="9216" width="9.140625" style="469"/>
    <col min="9217" max="9217" width="4.7109375" style="469" customWidth="1"/>
    <col min="9218" max="9218" width="16.85546875" style="469" customWidth="1"/>
    <col min="9219" max="9219" width="11.7109375" style="469" customWidth="1"/>
    <col min="9220" max="9220" width="12" style="469" customWidth="1"/>
    <col min="9221" max="9221" width="12.140625" style="469" customWidth="1"/>
    <col min="9222" max="9222" width="17.42578125" style="469" customWidth="1"/>
    <col min="9223" max="9223" width="12.42578125" style="469" customWidth="1"/>
    <col min="9224" max="9224" width="16" style="469" customWidth="1"/>
    <col min="9225" max="9225" width="12.7109375" style="469" customWidth="1"/>
    <col min="9226" max="9226" width="15" style="469" customWidth="1"/>
    <col min="9227" max="9227" width="16" style="469" customWidth="1"/>
    <col min="9228" max="9228" width="11.85546875" style="469" customWidth="1"/>
    <col min="9229" max="9472" width="9.140625" style="469"/>
    <col min="9473" max="9473" width="4.7109375" style="469" customWidth="1"/>
    <col min="9474" max="9474" width="16.85546875" style="469" customWidth="1"/>
    <col min="9475" max="9475" width="11.7109375" style="469" customWidth="1"/>
    <col min="9476" max="9476" width="12" style="469" customWidth="1"/>
    <col min="9477" max="9477" width="12.140625" style="469" customWidth="1"/>
    <col min="9478" max="9478" width="17.42578125" style="469" customWidth="1"/>
    <col min="9479" max="9479" width="12.42578125" style="469" customWidth="1"/>
    <col min="9480" max="9480" width="16" style="469" customWidth="1"/>
    <col min="9481" max="9481" width="12.7109375" style="469" customWidth="1"/>
    <col min="9482" max="9482" width="15" style="469" customWidth="1"/>
    <col min="9483" max="9483" width="16" style="469" customWidth="1"/>
    <col min="9484" max="9484" width="11.85546875" style="469" customWidth="1"/>
    <col min="9485" max="9728" width="9.140625" style="469"/>
    <col min="9729" max="9729" width="4.7109375" style="469" customWidth="1"/>
    <col min="9730" max="9730" width="16.85546875" style="469" customWidth="1"/>
    <col min="9731" max="9731" width="11.7109375" style="469" customWidth="1"/>
    <col min="9732" max="9732" width="12" style="469" customWidth="1"/>
    <col min="9733" max="9733" width="12.140625" style="469" customWidth="1"/>
    <col min="9734" max="9734" width="17.42578125" style="469" customWidth="1"/>
    <col min="9735" max="9735" width="12.42578125" style="469" customWidth="1"/>
    <col min="9736" max="9736" width="16" style="469" customWidth="1"/>
    <col min="9737" max="9737" width="12.7109375" style="469" customWidth="1"/>
    <col min="9738" max="9738" width="15" style="469" customWidth="1"/>
    <col min="9739" max="9739" width="16" style="469" customWidth="1"/>
    <col min="9740" max="9740" width="11.85546875" style="469" customWidth="1"/>
    <col min="9741" max="9984" width="9.140625" style="469"/>
    <col min="9985" max="9985" width="4.7109375" style="469" customWidth="1"/>
    <col min="9986" max="9986" width="16.85546875" style="469" customWidth="1"/>
    <col min="9987" max="9987" width="11.7109375" style="469" customWidth="1"/>
    <col min="9988" max="9988" width="12" style="469" customWidth="1"/>
    <col min="9989" max="9989" width="12.140625" style="469" customWidth="1"/>
    <col min="9990" max="9990" width="17.42578125" style="469" customWidth="1"/>
    <col min="9991" max="9991" width="12.42578125" style="469" customWidth="1"/>
    <col min="9992" max="9992" width="16" style="469" customWidth="1"/>
    <col min="9993" max="9993" width="12.7109375" style="469" customWidth="1"/>
    <col min="9994" max="9994" width="15" style="469" customWidth="1"/>
    <col min="9995" max="9995" width="16" style="469" customWidth="1"/>
    <col min="9996" max="9996" width="11.85546875" style="469" customWidth="1"/>
    <col min="9997" max="10240" width="9.140625" style="469"/>
    <col min="10241" max="10241" width="4.7109375" style="469" customWidth="1"/>
    <col min="10242" max="10242" width="16.85546875" style="469" customWidth="1"/>
    <col min="10243" max="10243" width="11.7109375" style="469" customWidth="1"/>
    <col min="10244" max="10244" width="12" style="469" customWidth="1"/>
    <col min="10245" max="10245" width="12.140625" style="469" customWidth="1"/>
    <col min="10246" max="10246" width="17.42578125" style="469" customWidth="1"/>
    <col min="10247" max="10247" width="12.42578125" style="469" customWidth="1"/>
    <col min="10248" max="10248" width="16" style="469" customWidth="1"/>
    <col min="10249" max="10249" width="12.7109375" style="469" customWidth="1"/>
    <col min="10250" max="10250" width="15" style="469" customWidth="1"/>
    <col min="10251" max="10251" width="16" style="469" customWidth="1"/>
    <col min="10252" max="10252" width="11.85546875" style="469" customWidth="1"/>
    <col min="10253" max="10496" width="9.140625" style="469"/>
    <col min="10497" max="10497" width="4.7109375" style="469" customWidth="1"/>
    <col min="10498" max="10498" width="16.85546875" style="469" customWidth="1"/>
    <col min="10499" max="10499" width="11.7109375" style="469" customWidth="1"/>
    <col min="10500" max="10500" width="12" style="469" customWidth="1"/>
    <col min="10501" max="10501" width="12.140625" style="469" customWidth="1"/>
    <col min="10502" max="10502" width="17.42578125" style="469" customWidth="1"/>
    <col min="10503" max="10503" width="12.42578125" style="469" customWidth="1"/>
    <col min="10504" max="10504" width="16" style="469" customWidth="1"/>
    <col min="10505" max="10505" width="12.7109375" style="469" customWidth="1"/>
    <col min="10506" max="10506" width="15" style="469" customWidth="1"/>
    <col min="10507" max="10507" width="16" style="469" customWidth="1"/>
    <col min="10508" max="10508" width="11.85546875" style="469" customWidth="1"/>
    <col min="10509" max="10752" width="9.140625" style="469"/>
    <col min="10753" max="10753" width="4.7109375" style="469" customWidth="1"/>
    <col min="10754" max="10754" width="16.85546875" style="469" customWidth="1"/>
    <col min="10755" max="10755" width="11.7109375" style="469" customWidth="1"/>
    <col min="10756" max="10756" width="12" style="469" customWidth="1"/>
    <col min="10757" max="10757" width="12.140625" style="469" customWidth="1"/>
    <col min="10758" max="10758" width="17.42578125" style="469" customWidth="1"/>
    <col min="10759" max="10759" width="12.42578125" style="469" customWidth="1"/>
    <col min="10760" max="10760" width="16" style="469" customWidth="1"/>
    <col min="10761" max="10761" width="12.7109375" style="469" customWidth="1"/>
    <col min="10762" max="10762" width="15" style="469" customWidth="1"/>
    <col min="10763" max="10763" width="16" style="469" customWidth="1"/>
    <col min="10764" max="10764" width="11.85546875" style="469" customWidth="1"/>
    <col min="10765" max="11008" width="9.140625" style="469"/>
    <col min="11009" max="11009" width="4.7109375" style="469" customWidth="1"/>
    <col min="11010" max="11010" width="16.85546875" style="469" customWidth="1"/>
    <col min="11011" max="11011" width="11.7109375" style="469" customWidth="1"/>
    <col min="11012" max="11012" width="12" style="469" customWidth="1"/>
    <col min="11013" max="11013" width="12.140625" style="469" customWidth="1"/>
    <col min="11014" max="11014" width="17.42578125" style="469" customWidth="1"/>
    <col min="11015" max="11015" width="12.42578125" style="469" customWidth="1"/>
    <col min="11016" max="11016" width="16" style="469" customWidth="1"/>
    <col min="11017" max="11017" width="12.7109375" style="469" customWidth="1"/>
    <col min="11018" max="11018" width="15" style="469" customWidth="1"/>
    <col min="11019" max="11019" width="16" style="469" customWidth="1"/>
    <col min="11020" max="11020" width="11.85546875" style="469" customWidth="1"/>
    <col min="11021" max="11264" width="9.140625" style="469"/>
    <col min="11265" max="11265" width="4.7109375" style="469" customWidth="1"/>
    <col min="11266" max="11266" width="16.85546875" style="469" customWidth="1"/>
    <col min="11267" max="11267" width="11.7109375" style="469" customWidth="1"/>
    <col min="11268" max="11268" width="12" style="469" customWidth="1"/>
    <col min="11269" max="11269" width="12.140625" style="469" customWidth="1"/>
    <col min="11270" max="11270" width="17.42578125" style="469" customWidth="1"/>
    <col min="11271" max="11271" width="12.42578125" style="469" customWidth="1"/>
    <col min="11272" max="11272" width="16" style="469" customWidth="1"/>
    <col min="11273" max="11273" width="12.7109375" style="469" customWidth="1"/>
    <col min="11274" max="11274" width="15" style="469" customWidth="1"/>
    <col min="11275" max="11275" width="16" style="469" customWidth="1"/>
    <col min="11276" max="11276" width="11.85546875" style="469" customWidth="1"/>
    <col min="11277" max="11520" width="9.140625" style="469"/>
    <col min="11521" max="11521" width="4.7109375" style="469" customWidth="1"/>
    <col min="11522" max="11522" width="16.85546875" style="469" customWidth="1"/>
    <col min="11523" max="11523" width="11.7109375" style="469" customWidth="1"/>
    <col min="11524" max="11524" width="12" style="469" customWidth="1"/>
    <col min="11525" max="11525" width="12.140625" style="469" customWidth="1"/>
    <col min="11526" max="11526" width="17.42578125" style="469" customWidth="1"/>
    <col min="11527" max="11527" width="12.42578125" style="469" customWidth="1"/>
    <col min="11528" max="11528" width="16" style="469" customWidth="1"/>
    <col min="11529" max="11529" width="12.7109375" style="469" customWidth="1"/>
    <col min="11530" max="11530" width="15" style="469" customWidth="1"/>
    <col min="11531" max="11531" width="16" style="469" customWidth="1"/>
    <col min="11532" max="11532" width="11.85546875" style="469" customWidth="1"/>
    <col min="11533" max="11776" width="9.140625" style="469"/>
    <col min="11777" max="11777" width="4.7109375" style="469" customWidth="1"/>
    <col min="11778" max="11778" width="16.85546875" style="469" customWidth="1"/>
    <col min="11779" max="11779" width="11.7109375" style="469" customWidth="1"/>
    <col min="11780" max="11780" width="12" style="469" customWidth="1"/>
    <col min="11781" max="11781" width="12.140625" style="469" customWidth="1"/>
    <col min="11782" max="11782" width="17.42578125" style="469" customWidth="1"/>
    <col min="11783" max="11783" width="12.42578125" style="469" customWidth="1"/>
    <col min="11784" max="11784" width="16" style="469" customWidth="1"/>
    <col min="11785" max="11785" width="12.7109375" style="469" customWidth="1"/>
    <col min="11786" max="11786" width="15" style="469" customWidth="1"/>
    <col min="11787" max="11787" width="16" style="469" customWidth="1"/>
    <col min="11788" max="11788" width="11.85546875" style="469" customWidth="1"/>
    <col min="11789" max="12032" width="9.140625" style="469"/>
    <col min="12033" max="12033" width="4.7109375" style="469" customWidth="1"/>
    <col min="12034" max="12034" width="16.85546875" style="469" customWidth="1"/>
    <col min="12035" max="12035" width="11.7109375" style="469" customWidth="1"/>
    <col min="12036" max="12036" width="12" style="469" customWidth="1"/>
    <col min="12037" max="12037" width="12.140625" style="469" customWidth="1"/>
    <col min="12038" max="12038" width="17.42578125" style="469" customWidth="1"/>
    <col min="12039" max="12039" width="12.42578125" style="469" customWidth="1"/>
    <col min="12040" max="12040" width="16" style="469" customWidth="1"/>
    <col min="12041" max="12041" width="12.7109375" style="469" customWidth="1"/>
    <col min="12042" max="12042" width="15" style="469" customWidth="1"/>
    <col min="12043" max="12043" width="16" style="469" customWidth="1"/>
    <col min="12044" max="12044" width="11.85546875" style="469" customWidth="1"/>
    <col min="12045" max="12288" width="9.140625" style="469"/>
    <col min="12289" max="12289" width="4.7109375" style="469" customWidth="1"/>
    <col min="12290" max="12290" width="16.85546875" style="469" customWidth="1"/>
    <col min="12291" max="12291" width="11.7109375" style="469" customWidth="1"/>
    <col min="12292" max="12292" width="12" style="469" customWidth="1"/>
    <col min="12293" max="12293" width="12.140625" style="469" customWidth="1"/>
    <col min="12294" max="12294" width="17.42578125" style="469" customWidth="1"/>
    <col min="12295" max="12295" width="12.42578125" style="469" customWidth="1"/>
    <col min="12296" max="12296" width="16" style="469" customWidth="1"/>
    <col min="12297" max="12297" width="12.7109375" style="469" customWidth="1"/>
    <col min="12298" max="12298" width="15" style="469" customWidth="1"/>
    <col min="12299" max="12299" width="16" style="469" customWidth="1"/>
    <col min="12300" max="12300" width="11.85546875" style="469" customWidth="1"/>
    <col min="12301" max="12544" width="9.140625" style="469"/>
    <col min="12545" max="12545" width="4.7109375" style="469" customWidth="1"/>
    <col min="12546" max="12546" width="16.85546875" style="469" customWidth="1"/>
    <col min="12547" max="12547" width="11.7109375" style="469" customWidth="1"/>
    <col min="12548" max="12548" width="12" style="469" customWidth="1"/>
    <col min="12549" max="12549" width="12.140625" style="469" customWidth="1"/>
    <col min="12550" max="12550" width="17.42578125" style="469" customWidth="1"/>
    <col min="12551" max="12551" width="12.42578125" style="469" customWidth="1"/>
    <col min="12552" max="12552" width="16" style="469" customWidth="1"/>
    <col min="12553" max="12553" width="12.7109375" style="469" customWidth="1"/>
    <col min="12554" max="12554" width="15" style="469" customWidth="1"/>
    <col min="12555" max="12555" width="16" style="469" customWidth="1"/>
    <col min="12556" max="12556" width="11.85546875" style="469" customWidth="1"/>
    <col min="12557" max="12800" width="9.140625" style="469"/>
    <col min="12801" max="12801" width="4.7109375" style="469" customWidth="1"/>
    <col min="12802" max="12802" width="16.85546875" style="469" customWidth="1"/>
    <col min="12803" max="12803" width="11.7109375" style="469" customWidth="1"/>
    <col min="12804" max="12804" width="12" style="469" customWidth="1"/>
    <col min="12805" max="12805" width="12.140625" style="469" customWidth="1"/>
    <col min="12806" max="12806" width="17.42578125" style="469" customWidth="1"/>
    <col min="12807" max="12807" width="12.42578125" style="469" customWidth="1"/>
    <col min="12808" max="12808" width="16" style="469" customWidth="1"/>
    <col min="12809" max="12809" width="12.7109375" style="469" customWidth="1"/>
    <col min="12810" max="12810" width="15" style="469" customWidth="1"/>
    <col min="12811" max="12811" width="16" style="469" customWidth="1"/>
    <col min="12812" max="12812" width="11.85546875" style="469" customWidth="1"/>
    <col min="12813" max="13056" width="9.140625" style="469"/>
    <col min="13057" max="13057" width="4.7109375" style="469" customWidth="1"/>
    <col min="13058" max="13058" width="16.85546875" style="469" customWidth="1"/>
    <col min="13059" max="13059" width="11.7109375" style="469" customWidth="1"/>
    <col min="13060" max="13060" width="12" style="469" customWidth="1"/>
    <col min="13061" max="13061" width="12.140625" style="469" customWidth="1"/>
    <col min="13062" max="13062" width="17.42578125" style="469" customWidth="1"/>
    <col min="13063" max="13063" width="12.42578125" style="469" customWidth="1"/>
    <col min="13064" max="13064" width="16" style="469" customWidth="1"/>
    <col min="13065" max="13065" width="12.7109375" style="469" customWidth="1"/>
    <col min="13066" max="13066" width="15" style="469" customWidth="1"/>
    <col min="13067" max="13067" width="16" style="469" customWidth="1"/>
    <col min="13068" max="13068" width="11.85546875" style="469" customWidth="1"/>
    <col min="13069" max="13312" width="9.140625" style="469"/>
    <col min="13313" max="13313" width="4.7109375" style="469" customWidth="1"/>
    <col min="13314" max="13314" width="16.85546875" style="469" customWidth="1"/>
    <col min="13315" max="13315" width="11.7109375" style="469" customWidth="1"/>
    <col min="13316" max="13316" width="12" style="469" customWidth="1"/>
    <col min="13317" max="13317" width="12.140625" style="469" customWidth="1"/>
    <col min="13318" max="13318" width="17.42578125" style="469" customWidth="1"/>
    <col min="13319" max="13319" width="12.42578125" style="469" customWidth="1"/>
    <col min="13320" max="13320" width="16" style="469" customWidth="1"/>
    <col min="13321" max="13321" width="12.7109375" style="469" customWidth="1"/>
    <col min="13322" max="13322" width="15" style="469" customWidth="1"/>
    <col min="13323" max="13323" width="16" style="469" customWidth="1"/>
    <col min="13324" max="13324" width="11.85546875" style="469" customWidth="1"/>
    <col min="13325" max="13568" width="9.140625" style="469"/>
    <col min="13569" max="13569" width="4.7109375" style="469" customWidth="1"/>
    <col min="13570" max="13570" width="16.85546875" style="469" customWidth="1"/>
    <col min="13571" max="13571" width="11.7109375" style="469" customWidth="1"/>
    <col min="13572" max="13572" width="12" style="469" customWidth="1"/>
    <col min="13573" max="13573" width="12.140625" style="469" customWidth="1"/>
    <col min="13574" max="13574" width="17.42578125" style="469" customWidth="1"/>
    <col min="13575" max="13575" width="12.42578125" style="469" customWidth="1"/>
    <col min="13576" max="13576" width="16" style="469" customWidth="1"/>
    <col min="13577" max="13577" width="12.7109375" style="469" customWidth="1"/>
    <col min="13578" max="13578" width="15" style="469" customWidth="1"/>
    <col min="13579" max="13579" width="16" style="469" customWidth="1"/>
    <col min="13580" max="13580" width="11.85546875" style="469" customWidth="1"/>
    <col min="13581" max="13824" width="9.140625" style="469"/>
    <col min="13825" max="13825" width="4.7109375" style="469" customWidth="1"/>
    <col min="13826" max="13826" width="16.85546875" style="469" customWidth="1"/>
    <col min="13827" max="13827" width="11.7109375" style="469" customWidth="1"/>
    <col min="13828" max="13828" width="12" style="469" customWidth="1"/>
    <col min="13829" max="13829" width="12.140625" style="469" customWidth="1"/>
    <col min="13830" max="13830" width="17.42578125" style="469" customWidth="1"/>
    <col min="13831" max="13831" width="12.42578125" style="469" customWidth="1"/>
    <col min="13832" max="13832" width="16" style="469" customWidth="1"/>
    <col min="13833" max="13833" width="12.7109375" style="469" customWidth="1"/>
    <col min="13834" max="13834" width="15" style="469" customWidth="1"/>
    <col min="13835" max="13835" width="16" style="469" customWidth="1"/>
    <col min="13836" max="13836" width="11.85546875" style="469" customWidth="1"/>
    <col min="13837" max="14080" width="9.140625" style="469"/>
    <col min="14081" max="14081" width="4.7109375" style="469" customWidth="1"/>
    <col min="14082" max="14082" width="16.85546875" style="469" customWidth="1"/>
    <col min="14083" max="14083" width="11.7109375" style="469" customWidth="1"/>
    <col min="14084" max="14084" width="12" style="469" customWidth="1"/>
    <col min="14085" max="14085" width="12.140625" style="469" customWidth="1"/>
    <col min="14086" max="14086" width="17.42578125" style="469" customWidth="1"/>
    <col min="14087" max="14087" width="12.42578125" style="469" customWidth="1"/>
    <col min="14088" max="14088" width="16" style="469" customWidth="1"/>
    <col min="14089" max="14089" width="12.7109375" style="469" customWidth="1"/>
    <col min="14090" max="14090" width="15" style="469" customWidth="1"/>
    <col min="14091" max="14091" width="16" style="469" customWidth="1"/>
    <col min="14092" max="14092" width="11.85546875" style="469" customWidth="1"/>
    <col min="14093" max="14336" width="9.140625" style="469"/>
    <col min="14337" max="14337" width="4.7109375" style="469" customWidth="1"/>
    <col min="14338" max="14338" width="16.85546875" style="469" customWidth="1"/>
    <col min="14339" max="14339" width="11.7109375" style="469" customWidth="1"/>
    <col min="14340" max="14340" width="12" style="469" customWidth="1"/>
    <col min="14341" max="14341" width="12.140625" style="469" customWidth="1"/>
    <col min="14342" max="14342" width="17.42578125" style="469" customWidth="1"/>
    <col min="14343" max="14343" width="12.42578125" style="469" customWidth="1"/>
    <col min="14344" max="14344" width="16" style="469" customWidth="1"/>
    <col min="14345" max="14345" width="12.7109375" style="469" customWidth="1"/>
    <col min="14346" max="14346" width="15" style="469" customWidth="1"/>
    <col min="14347" max="14347" width="16" style="469" customWidth="1"/>
    <col min="14348" max="14348" width="11.85546875" style="469" customWidth="1"/>
    <col min="14349" max="14592" width="9.140625" style="469"/>
    <col min="14593" max="14593" width="4.7109375" style="469" customWidth="1"/>
    <col min="14594" max="14594" width="16.85546875" style="469" customWidth="1"/>
    <col min="14595" max="14595" width="11.7109375" style="469" customWidth="1"/>
    <col min="14596" max="14596" width="12" style="469" customWidth="1"/>
    <col min="14597" max="14597" width="12.140625" style="469" customWidth="1"/>
    <col min="14598" max="14598" width="17.42578125" style="469" customWidth="1"/>
    <col min="14599" max="14599" width="12.42578125" style="469" customWidth="1"/>
    <col min="14600" max="14600" width="16" style="469" customWidth="1"/>
    <col min="14601" max="14601" width="12.7109375" style="469" customWidth="1"/>
    <col min="14602" max="14602" width="15" style="469" customWidth="1"/>
    <col min="14603" max="14603" width="16" style="469" customWidth="1"/>
    <col min="14604" max="14604" width="11.85546875" style="469" customWidth="1"/>
    <col min="14605" max="14848" width="9.140625" style="469"/>
    <col min="14849" max="14849" width="4.7109375" style="469" customWidth="1"/>
    <col min="14850" max="14850" width="16.85546875" style="469" customWidth="1"/>
    <col min="14851" max="14851" width="11.7109375" style="469" customWidth="1"/>
    <col min="14852" max="14852" width="12" style="469" customWidth="1"/>
    <col min="14853" max="14853" width="12.140625" style="469" customWidth="1"/>
    <col min="14854" max="14854" width="17.42578125" style="469" customWidth="1"/>
    <col min="14855" max="14855" width="12.42578125" style="469" customWidth="1"/>
    <col min="14856" max="14856" width="16" style="469" customWidth="1"/>
    <col min="14857" max="14857" width="12.7109375" style="469" customWidth="1"/>
    <col min="14858" max="14858" width="15" style="469" customWidth="1"/>
    <col min="14859" max="14859" width="16" style="469" customWidth="1"/>
    <col min="14860" max="14860" width="11.85546875" style="469" customWidth="1"/>
    <col min="14861" max="15104" width="9.140625" style="469"/>
    <col min="15105" max="15105" width="4.7109375" style="469" customWidth="1"/>
    <col min="15106" max="15106" width="16.85546875" style="469" customWidth="1"/>
    <col min="15107" max="15107" width="11.7109375" style="469" customWidth="1"/>
    <col min="15108" max="15108" width="12" style="469" customWidth="1"/>
    <col min="15109" max="15109" width="12.140625" style="469" customWidth="1"/>
    <col min="15110" max="15110" width="17.42578125" style="469" customWidth="1"/>
    <col min="15111" max="15111" width="12.42578125" style="469" customWidth="1"/>
    <col min="15112" max="15112" width="16" style="469" customWidth="1"/>
    <col min="15113" max="15113" width="12.7109375" style="469" customWidth="1"/>
    <col min="15114" max="15114" width="15" style="469" customWidth="1"/>
    <col min="15115" max="15115" width="16" style="469" customWidth="1"/>
    <col min="15116" max="15116" width="11.85546875" style="469" customWidth="1"/>
    <col min="15117" max="15360" width="9.140625" style="469"/>
    <col min="15361" max="15361" width="4.7109375" style="469" customWidth="1"/>
    <col min="15362" max="15362" width="16.85546875" style="469" customWidth="1"/>
    <col min="15363" max="15363" width="11.7109375" style="469" customWidth="1"/>
    <col min="15364" max="15364" width="12" style="469" customWidth="1"/>
    <col min="15365" max="15365" width="12.140625" style="469" customWidth="1"/>
    <col min="15366" max="15366" width="17.42578125" style="469" customWidth="1"/>
    <col min="15367" max="15367" width="12.42578125" style="469" customWidth="1"/>
    <col min="15368" max="15368" width="16" style="469" customWidth="1"/>
    <col min="15369" max="15369" width="12.7109375" style="469" customWidth="1"/>
    <col min="15370" max="15370" width="15" style="469" customWidth="1"/>
    <col min="15371" max="15371" width="16" style="469" customWidth="1"/>
    <col min="15372" max="15372" width="11.85546875" style="469" customWidth="1"/>
    <col min="15373" max="15616" width="9.140625" style="469"/>
    <col min="15617" max="15617" width="4.7109375" style="469" customWidth="1"/>
    <col min="15618" max="15618" width="16.85546875" style="469" customWidth="1"/>
    <col min="15619" max="15619" width="11.7109375" style="469" customWidth="1"/>
    <col min="15620" max="15620" width="12" style="469" customWidth="1"/>
    <col min="15621" max="15621" width="12.140625" style="469" customWidth="1"/>
    <col min="15622" max="15622" width="17.42578125" style="469" customWidth="1"/>
    <col min="15623" max="15623" width="12.42578125" style="469" customWidth="1"/>
    <col min="15624" max="15624" width="16" style="469" customWidth="1"/>
    <col min="15625" max="15625" width="12.7109375" style="469" customWidth="1"/>
    <col min="15626" max="15626" width="15" style="469" customWidth="1"/>
    <col min="15627" max="15627" width="16" style="469" customWidth="1"/>
    <col min="15628" max="15628" width="11.85546875" style="469" customWidth="1"/>
    <col min="15629" max="15872" width="9.140625" style="469"/>
    <col min="15873" max="15873" width="4.7109375" style="469" customWidth="1"/>
    <col min="15874" max="15874" width="16.85546875" style="469" customWidth="1"/>
    <col min="15875" max="15875" width="11.7109375" style="469" customWidth="1"/>
    <col min="15876" max="15876" width="12" style="469" customWidth="1"/>
    <col min="15877" max="15877" width="12.140625" style="469" customWidth="1"/>
    <col min="15878" max="15878" width="17.42578125" style="469" customWidth="1"/>
    <col min="15879" max="15879" width="12.42578125" style="469" customWidth="1"/>
    <col min="15880" max="15880" width="16" style="469" customWidth="1"/>
    <col min="15881" max="15881" width="12.7109375" style="469" customWidth="1"/>
    <col min="15882" max="15882" width="15" style="469" customWidth="1"/>
    <col min="15883" max="15883" width="16" style="469" customWidth="1"/>
    <col min="15884" max="15884" width="11.85546875" style="469" customWidth="1"/>
    <col min="15885" max="16128" width="9.140625" style="469"/>
    <col min="16129" max="16129" width="4.7109375" style="469" customWidth="1"/>
    <col min="16130" max="16130" width="16.85546875" style="469" customWidth="1"/>
    <col min="16131" max="16131" width="11.7109375" style="469" customWidth="1"/>
    <col min="16132" max="16132" width="12" style="469" customWidth="1"/>
    <col min="16133" max="16133" width="12.140625" style="469" customWidth="1"/>
    <col min="16134" max="16134" width="17.42578125" style="469" customWidth="1"/>
    <col min="16135" max="16135" width="12.42578125" style="469" customWidth="1"/>
    <col min="16136" max="16136" width="16" style="469" customWidth="1"/>
    <col min="16137" max="16137" width="12.7109375" style="469" customWidth="1"/>
    <col min="16138" max="16138" width="15" style="469" customWidth="1"/>
    <col min="16139" max="16139" width="16" style="469" customWidth="1"/>
    <col min="16140" max="16140" width="11.85546875" style="469" customWidth="1"/>
    <col min="16141" max="16384" width="9.140625" style="469"/>
  </cols>
  <sheetData>
    <row r="1" spans="1:20" ht="15" customHeight="1">
      <c r="C1" s="988"/>
      <c r="D1" s="988"/>
      <c r="E1" s="988"/>
      <c r="F1" s="988"/>
      <c r="G1" s="988"/>
      <c r="H1" s="988"/>
      <c r="I1" s="470"/>
      <c r="J1" s="989" t="s">
        <v>527</v>
      </c>
      <c r="K1" s="989"/>
    </row>
    <row r="2" spans="1:20" s="471" customFormat="1" ht="19.5" customHeight="1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</row>
    <row r="3" spans="1:20" s="471" customFormat="1" ht="19.5" customHeight="1">
      <c r="A3" s="992" t="s">
        <v>737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</row>
    <row r="4" spans="1:20" s="471" customFormat="1" ht="14.25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20" s="471" customFormat="1" ht="18" customHeight="1">
      <c r="A5" s="993" t="s">
        <v>784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</row>
    <row r="6" spans="1:20" ht="15.75">
      <c r="A6" s="990" t="s">
        <v>723</v>
      </c>
      <c r="B6" s="990"/>
      <c r="C6" s="473"/>
      <c r="D6" s="473"/>
      <c r="E6" s="473"/>
      <c r="F6" s="473"/>
      <c r="G6" s="473"/>
      <c r="H6" s="473"/>
      <c r="I6" s="473"/>
      <c r="J6" s="473"/>
      <c r="K6" s="473"/>
    </row>
    <row r="7" spans="1:20" ht="29.25" customHeight="1">
      <c r="A7" s="984" t="s">
        <v>70</v>
      </c>
      <c r="B7" s="984" t="s">
        <v>71</v>
      </c>
      <c r="C7" s="984" t="s">
        <v>72</v>
      </c>
      <c r="D7" s="984" t="s">
        <v>153</v>
      </c>
      <c r="E7" s="984"/>
      <c r="F7" s="984"/>
      <c r="G7" s="984"/>
      <c r="H7" s="984"/>
      <c r="I7" s="985" t="s">
        <v>236</v>
      </c>
      <c r="J7" s="984" t="s">
        <v>73</v>
      </c>
      <c r="K7" s="984" t="s">
        <v>472</v>
      </c>
      <c r="L7" s="996" t="s">
        <v>74</v>
      </c>
      <c r="S7" s="474"/>
      <c r="T7" s="474"/>
    </row>
    <row r="8" spans="1:20" ht="33.75" customHeight="1">
      <c r="A8" s="984"/>
      <c r="B8" s="984"/>
      <c r="C8" s="984"/>
      <c r="D8" s="984" t="s">
        <v>75</v>
      </c>
      <c r="E8" s="984" t="s">
        <v>76</v>
      </c>
      <c r="F8" s="984"/>
      <c r="G8" s="984"/>
      <c r="H8" s="475" t="s">
        <v>77</v>
      </c>
      <c r="I8" s="986"/>
      <c r="J8" s="984"/>
      <c r="K8" s="984"/>
      <c r="L8" s="996"/>
      <c r="P8" s="469">
        <f>9+16+24+22+20+14+24+22</f>
        <v>151</v>
      </c>
    </row>
    <row r="9" spans="1:20" ht="30">
      <c r="A9" s="984"/>
      <c r="B9" s="984"/>
      <c r="C9" s="984"/>
      <c r="D9" s="984"/>
      <c r="E9" s="475" t="s">
        <v>78</v>
      </c>
      <c r="F9" s="475" t="s">
        <v>79</v>
      </c>
      <c r="G9" s="475" t="s">
        <v>16</v>
      </c>
      <c r="H9" s="475"/>
      <c r="I9" s="987"/>
      <c r="J9" s="984"/>
      <c r="K9" s="984"/>
      <c r="L9" s="996"/>
    </row>
    <row r="10" spans="1:20" s="477" customFormat="1" ht="17.100000000000001" customHeight="1">
      <c r="A10" s="476">
        <v>1</v>
      </c>
      <c r="B10" s="476">
        <v>2</v>
      </c>
      <c r="C10" s="476">
        <v>3</v>
      </c>
      <c r="D10" s="476">
        <v>4</v>
      </c>
      <c r="E10" s="476">
        <v>5</v>
      </c>
      <c r="F10" s="476">
        <v>6</v>
      </c>
      <c r="G10" s="476">
        <v>7</v>
      </c>
      <c r="H10" s="476">
        <v>8</v>
      </c>
      <c r="I10" s="476">
        <v>9</v>
      </c>
      <c r="J10" s="476">
        <v>10</v>
      </c>
      <c r="K10" s="476">
        <v>11</v>
      </c>
      <c r="L10" s="476">
        <v>12</v>
      </c>
    </row>
    <row r="11" spans="1:20" ht="17.100000000000001" customHeight="1">
      <c r="A11" s="478">
        <v>1</v>
      </c>
      <c r="B11" s="533" t="s">
        <v>785</v>
      </c>
      <c r="C11" s="534">
        <v>30</v>
      </c>
      <c r="D11" s="480">
        <v>18</v>
      </c>
      <c r="E11" s="480">
        <v>1</v>
      </c>
      <c r="F11" s="480">
        <v>2</v>
      </c>
      <c r="G11" s="480">
        <f>SUM(E11:F11)</f>
        <v>3</v>
      </c>
      <c r="H11" s="480">
        <f>G11+D11</f>
        <v>21</v>
      </c>
      <c r="I11" s="480">
        <v>30</v>
      </c>
      <c r="J11" s="480">
        <v>0</v>
      </c>
      <c r="K11" s="480">
        <v>22</v>
      </c>
      <c r="L11" s="480"/>
    </row>
    <row r="12" spans="1:20" ht="17.100000000000001" customHeight="1">
      <c r="A12" s="478">
        <v>2</v>
      </c>
      <c r="B12" s="533" t="s">
        <v>786</v>
      </c>
      <c r="C12" s="534">
        <v>31</v>
      </c>
      <c r="D12" s="480">
        <v>31</v>
      </c>
      <c r="E12" s="480">
        <v>0</v>
      </c>
      <c r="F12" s="480">
        <v>0</v>
      </c>
      <c r="G12" s="480">
        <f t="shared" ref="G12:G22" si="0">SUM(E12:F12)</f>
        <v>0</v>
      </c>
      <c r="H12" s="480">
        <f t="shared" ref="H12:H22" si="1">G12+D12</f>
        <v>31</v>
      </c>
      <c r="I12" s="480">
        <v>31</v>
      </c>
      <c r="J12" s="480">
        <f t="shared" ref="J12:J22" si="2">C12-H12</f>
        <v>0</v>
      </c>
      <c r="K12" s="480">
        <v>27</v>
      </c>
      <c r="L12" s="480"/>
    </row>
    <row r="13" spans="1:20" ht="17.100000000000001" customHeight="1">
      <c r="A13" s="478">
        <v>3</v>
      </c>
      <c r="B13" s="533" t="s">
        <v>787</v>
      </c>
      <c r="C13" s="534">
        <v>30</v>
      </c>
      <c r="D13" s="480">
        <v>0</v>
      </c>
      <c r="E13" s="480">
        <v>5</v>
      </c>
      <c r="F13" s="480">
        <v>3</v>
      </c>
      <c r="G13" s="480">
        <f t="shared" si="0"/>
        <v>8</v>
      </c>
      <c r="H13" s="480">
        <f t="shared" si="1"/>
        <v>8</v>
      </c>
      <c r="I13" s="480">
        <v>30</v>
      </c>
      <c r="J13" s="480">
        <f t="shared" si="2"/>
        <v>22</v>
      </c>
      <c r="K13" s="480">
        <v>24</v>
      </c>
      <c r="L13" s="480"/>
    </row>
    <row r="14" spans="1:20" ht="17.100000000000001" customHeight="1">
      <c r="A14" s="478">
        <v>4</v>
      </c>
      <c r="B14" s="533" t="s">
        <v>788</v>
      </c>
      <c r="C14" s="534">
        <v>31</v>
      </c>
      <c r="D14" s="480">
        <v>0</v>
      </c>
      <c r="E14" s="480">
        <v>4</v>
      </c>
      <c r="F14" s="480">
        <v>2</v>
      </c>
      <c r="G14" s="480">
        <f t="shared" si="0"/>
        <v>6</v>
      </c>
      <c r="H14" s="480">
        <f t="shared" si="1"/>
        <v>6</v>
      </c>
      <c r="I14" s="480">
        <v>31</v>
      </c>
      <c r="J14" s="480">
        <f t="shared" si="2"/>
        <v>25</v>
      </c>
      <c r="K14" s="480">
        <v>26</v>
      </c>
      <c r="L14" s="480"/>
    </row>
    <row r="15" spans="1:20" ht="17.100000000000001" customHeight="1">
      <c r="A15" s="478">
        <v>5</v>
      </c>
      <c r="B15" s="533" t="s">
        <v>789</v>
      </c>
      <c r="C15" s="534">
        <v>31</v>
      </c>
      <c r="D15" s="480">
        <v>0</v>
      </c>
      <c r="E15" s="480">
        <v>4</v>
      </c>
      <c r="F15" s="480">
        <v>4</v>
      </c>
      <c r="G15" s="480">
        <f t="shared" si="0"/>
        <v>8</v>
      </c>
      <c r="H15" s="480">
        <f t="shared" si="1"/>
        <v>8</v>
      </c>
      <c r="I15" s="480">
        <v>31</v>
      </c>
      <c r="J15" s="480">
        <f t="shared" si="2"/>
        <v>23</v>
      </c>
      <c r="K15" s="480">
        <v>22</v>
      </c>
      <c r="L15" s="480"/>
    </row>
    <row r="16" spans="1:20" s="481" customFormat="1" ht="17.100000000000001" customHeight="1">
      <c r="A16" s="478">
        <v>6</v>
      </c>
      <c r="B16" s="533" t="s">
        <v>790</v>
      </c>
      <c r="C16" s="535">
        <v>30</v>
      </c>
      <c r="D16" s="479">
        <v>4</v>
      </c>
      <c r="E16" s="479">
        <v>4</v>
      </c>
      <c r="F16" s="479">
        <v>4</v>
      </c>
      <c r="G16" s="480">
        <f t="shared" si="0"/>
        <v>8</v>
      </c>
      <c r="H16" s="480">
        <f t="shared" si="1"/>
        <v>12</v>
      </c>
      <c r="I16" s="479">
        <v>30</v>
      </c>
      <c r="J16" s="480">
        <f t="shared" si="2"/>
        <v>18</v>
      </c>
      <c r="K16" s="479">
        <v>22</v>
      </c>
      <c r="L16" s="479"/>
    </row>
    <row r="17" spans="1:12" s="481" customFormat="1" ht="17.100000000000001" customHeight="1">
      <c r="A17" s="478">
        <v>7</v>
      </c>
      <c r="B17" s="533" t="s">
        <v>791</v>
      </c>
      <c r="C17" s="535">
        <v>31</v>
      </c>
      <c r="D17" s="479">
        <v>10</v>
      </c>
      <c r="E17" s="479">
        <v>3</v>
      </c>
      <c r="F17" s="479">
        <v>1</v>
      </c>
      <c r="G17" s="480">
        <f t="shared" si="0"/>
        <v>4</v>
      </c>
      <c r="H17" s="480">
        <v>17</v>
      </c>
      <c r="I17" s="479">
        <v>31</v>
      </c>
      <c r="J17" s="480">
        <f t="shared" si="2"/>
        <v>14</v>
      </c>
      <c r="K17" s="479">
        <v>23</v>
      </c>
      <c r="L17" s="479"/>
    </row>
    <row r="18" spans="1:12" s="481" customFormat="1" ht="17.100000000000001" customHeight="1">
      <c r="A18" s="478">
        <v>8</v>
      </c>
      <c r="B18" s="533" t="s">
        <v>792</v>
      </c>
      <c r="C18" s="535">
        <v>30</v>
      </c>
      <c r="D18" s="479">
        <v>0</v>
      </c>
      <c r="E18" s="479">
        <v>4</v>
      </c>
      <c r="F18" s="479">
        <v>2</v>
      </c>
      <c r="G18" s="480">
        <f t="shared" si="0"/>
        <v>6</v>
      </c>
      <c r="H18" s="480">
        <f t="shared" si="1"/>
        <v>6</v>
      </c>
      <c r="I18" s="479">
        <v>30</v>
      </c>
      <c r="J18" s="480">
        <f t="shared" si="2"/>
        <v>24</v>
      </c>
      <c r="K18" s="479">
        <v>24</v>
      </c>
      <c r="L18" s="479"/>
    </row>
    <row r="19" spans="1:12" s="481" customFormat="1" ht="17.100000000000001" customHeight="1">
      <c r="A19" s="478">
        <v>9</v>
      </c>
      <c r="B19" s="533" t="s">
        <v>793</v>
      </c>
      <c r="C19" s="535">
        <v>31</v>
      </c>
      <c r="D19" s="479">
        <v>0</v>
      </c>
      <c r="E19" s="479">
        <v>5</v>
      </c>
      <c r="F19" s="479">
        <v>3</v>
      </c>
      <c r="G19" s="480">
        <f t="shared" si="0"/>
        <v>8</v>
      </c>
      <c r="H19" s="480">
        <f t="shared" si="1"/>
        <v>8</v>
      </c>
      <c r="I19" s="479">
        <v>31</v>
      </c>
      <c r="J19" s="480">
        <f t="shared" si="2"/>
        <v>23</v>
      </c>
      <c r="K19" s="479">
        <v>24</v>
      </c>
      <c r="L19" s="479"/>
    </row>
    <row r="20" spans="1:12" s="481" customFormat="1" ht="17.100000000000001" customHeight="1">
      <c r="A20" s="478">
        <v>10</v>
      </c>
      <c r="B20" s="533" t="s">
        <v>794</v>
      </c>
      <c r="C20" s="535">
        <v>31</v>
      </c>
      <c r="D20" s="479">
        <v>6</v>
      </c>
      <c r="E20" s="479">
        <v>3</v>
      </c>
      <c r="F20" s="479">
        <v>0</v>
      </c>
      <c r="G20" s="480">
        <f t="shared" si="0"/>
        <v>3</v>
      </c>
      <c r="H20" s="480">
        <f t="shared" si="1"/>
        <v>9</v>
      </c>
      <c r="I20" s="479">
        <v>31</v>
      </c>
      <c r="J20" s="480">
        <f t="shared" si="2"/>
        <v>22</v>
      </c>
      <c r="K20" s="479">
        <v>23</v>
      </c>
      <c r="L20" s="479"/>
    </row>
    <row r="21" spans="1:12" s="481" customFormat="1" ht="17.100000000000001" customHeight="1">
      <c r="A21" s="478">
        <v>11</v>
      </c>
      <c r="B21" s="533" t="s">
        <v>795</v>
      </c>
      <c r="C21" s="535">
        <v>28</v>
      </c>
      <c r="D21" s="482">
        <v>0</v>
      </c>
      <c r="E21" s="482">
        <v>4</v>
      </c>
      <c r="F21" s="482">
        <v>2</v>
      </c>
      <c r="G21" s="480">
        <f t="shared" si="0"/>
        <v>6</v>
      </c>
      <c r="H21" s="480">
        <f t="shared" si="1"/>
        <v>6</v>
      </c>
      <c r="I21" s="479">
        <v>28</v>
      </c>
      <c r="J21" s="480">
        <f t="shared" si="2"/>
        <v>22</v>
      </c>
      <c r="K21" s="479">
        <v>23</v>
      </c>
      <c r="L21" s="479"/>
    </row>
    <row r="22" spans="1:12" s="481" customFormat="1" ht="17.100000000000001" customHeight="1">
      <c r="A22" s="478">
        <v>12</v>
      </c>
      <c r="B22" s="533" t="s">
        <v>796</v>
      </c>
      <c r="C22" s="535">
        <v>31</v>
      </c>
      <c r="D22" s="482">
        <v>0</v>
      </c>
      <c r="E22" s="482">
        <v>5</v>
      </c>
      <c r="F22" s="482">
        <v>3</v>
      </c>
      <c r="G22" s="480">
        <f t="shared" si="0"/>
        <v>8</v>
      </c>
      <c r="H22" s="480">
        <f t="shared" si="1"/>
        <v>8</v>
      </c>
      <c r="I22" s="479">
        <v>31</v>
      </c>
      <c r="J22" s="480">
        <f t="shared" si="2"/>
        <v>23</v>
      </c>
      <c r="K22" s="479">
        <v>25</v>
      </c>
      <c r="L22" s="479"/>
    </row>
    <row r="23" spans="1:12" s="481" customFormat="1" ht="17.100000000000001" customHeight="1">
      <c r="A23" s="479"/>
      <c r="B23" s="483" t="s">
        <v>16</v>
      </c>
      <c r="C23" s="475">
        <f>SUM(C11:C22)</f>
        <v>365</v>
      </c>
      <c r="D23" s="484">
        <f t="shared" ref="D23:K23" si="3">SUM(D11:D22)</f>
        <v>69</v>
      </c>
      <c r="E23" s="484">
        <f t="shared" si="3"/>
        <v>42</v>
      </c>
      <c r="F23" s="484">
        <f t="shared" si="3"/>
        <v>26</v>
      </c>
      <c r="G23" s="484">
        <f t="shared" si="3"/>
        <v>68</v>
      </c>
      <c r="H23" s="484">
        <f t="shared" si="3"/>
        <v>140</v>
      </c>
      <c r="I23" s="484">
        <f t="shared" si="3"/>
        <v>365</v>
      </c>
      <c r="J23" s="484">
        <f t="shared" si="3"/>
        <v>216</v>
      </c>
      <c r="K23" s="484">
        <f t="shared" si="3"/>
        <v>285</v>
      </c>
      <c r="L23" s="479"/>
    </row>
    <row r="24" spans="1:12" s="481" customFormat="1" ht="11.25" customHeight="1">
      <c r="A24" s="485"/>
      <c r="B24" s="486"/>
      <c r="C24" s="487"/>
      <c r="D24" s="485"/>
      <c r="E24" s="485"/>
      <c r="F24" s="485"/>
      <c r="G24" s="485"/>
      <c r="H24" s="485"/>
      <c r="I24" s="485"/>
      <c r="J24" s="485"/>
      <c r="K24" s="485"/>
    </row>
    <row r="25" spans="1:12" ht="15">
      <c r="A25" s="488" t="s">
        <v>101</v>
      </c>
      <c r="B25" s="488"/>
      <c r="C25" s="488"/>
      <c r="D25" s="488"/>
      <c r="E25" s="488"/>
      <c r="F25" s="488"/>
      <c r="G25" s="488"/>
      <c r="H25" s="488"/>
      <c r="I25" s="488"/>
      <c r="J25" s="488"/>
    </row>
    <row r="26" spans="1:12" ht="15">
      <c r="A26" s="488"/>
      <c r="B26" s="488"/>
      <c r="C26" s="488"/>
      <c r="D26" s="488"/>
      <c r="E26" s="488"/>
      <c r="F26" s="488"/>
      <c r="G26" s="488"/>
      <c r="H26" s="488"/>
      <c r="I26" s="488"/>
      <c r="J26" s="488"/>
    </row>
    <row r="27" spans="1:12" ht="15">
      <c r="A27" s="488" t="s">
        <v>12</v>
      </c>
      <c r="B27" s="488"/>
      <c r="C27" s="488"/>
      <c r="D27" s="488"/>
      <c r="E27" s="488"/>
      <c r="F27" s="488"/>
      <c r="G27" s="488"/>
      <c r="H27" s="488"/>
      <c r="I27" s="488"/>
      <c r="J27" s="994"/>
      <c r="K27" s="994"/>
    </row>
    <row r="28" spans="1:12" ht="15">
      <c r="A28" s="488"/>
      <c r="B28" s="488"/>
      <c r="C28" s="488"/>
      <c r="D28" s="488"/>
      <c r="E28" s="488"/>
      <c r="F28" s="488"/>
      <c r="G28" s="488"/>
      <c r="H28" s="488"/>
      <c r="I28" s="488"/>
      <c r="J28" s="488"/>
      <c r="K28" s="488"/>
    </row>
    <row r="30" spans="1:12" ht="15.75">
      <c r="I30" s="762"/>
      <c r="J30" s="762"/>
      <c r="K30" s="762"/>
      <c r="L30" s="762"/>
    </row>
    <row r="31" spans="1:12" ht="14.25" customHeight="1">
      <c r="I31" s="995" t="s">
        <v>909</v>
      </c>
      <c r="J31" s="995"/>
      <c r="K31" s="995"/>
      <c r="L31" s="995"/>
    </row>
    <row r="32" spans="1:12" ht="14.25" customHeight="1">
      <c r="I32" s="995" t="s">
        <v>712</v>
      </c>
      <c r="J32" s="995"/>
      <c r="K32" s="995"/>
      <c r="L32" s="995"/>
    </row>
    <row r="33" spans="9:12" ht="14.25" customHeight="1">
      <c r="I33" s="493"/>
      <c r="J33" s="493"/>
      <c r="K33" s="493"/>
      <c r="L33" s="493"/>
    </row>
    <row r="34" spans="9:12" ht="14.25" customHeight="1">
      <c r="I34" s="493"/>
      <c r="J34" s="493"/>
      <c r="K34" s="493"/>
      <c r="L34" s="493"/>
    </row>
  </sheetData>
  <mergeCells count="20">
    <mergeCell ref="J27:K27"/>
    <mergeCell ref="I31:L31"/>
    <mergeCell ref="I32:L32"/>
    <mergeCell ref="I30:L30"/>
    <mergeCell ref="L7:L9"/>
    <mergeCell ref="K7:K9"/>
    <mergeCell ref="C1:H1"/>
    <mergeCell ref="J1:K1"/>
    <mergeCell ref="A6:B6"/>
    <mergeCell ref="A2:K2"/>
    <mergeCell ref="A3:K3"/>
    <mergeCell ref="A5:K5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44" right="0.44" top="0.5" bottom="0" header="0.31496062992125984" footer="0.31496062992125984"/>
  <pageSetup paperSize="9" scale="8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topLeftCell="C23" zoomScaleNormal="70" zoomScaleSheetLayoutView="100" workbookViewId="0">
      <selection activeCell="J33" sqref="J33"/>
    </sheetView>
  </sheetViews>
  <sheetFormatPr defaultRowHeight="14.25"/>
  <cols>
    <col min="1" max="1" width="4.7109375" style="469" customWidth="1"/>
    <col min="2" max="2" width="14.7109375" style="469" customWidth="1"/>
    <col min="3" max="3" width="11.7109375" style="469" customWidth="1"/>
    <col min="4" max="4" width="12" style="469" customWidth="1"/>
    <col min="5" max="5" width="11.85546875" style="469" customWidth="1"/>
    <col min="6" max="6" width="18.85546875" style="469" customWidth="1"/>
    <col min="7" max="7" width="10.140625" style="469" customWidth="1"/>
    <col min="8" max="8" width="14.7109375" style="469" customWidth="1"/>
    <col min="9" max="9" width="15.28515625" style="469" customWidth="1"/>
    <col min="10" max="10" width="14.7109375" style="469" customWidth="1"/>
    <col min="11" max="11" width="11.85546875" style="469" customWidth="1"/>
    <col min="12" max="256" width="9.140625" style="469"/>
    <col min="257" max="257" width="4.7109375" style="469" customWidth="1"/>
    <col min="258" max="258" width="14.7109375" style="469" customWidth="1"/>
    <col min="259" max="259" width="11.7109375" style="469" customWidth="1"/>
    <col min="260" max="260" width="12" style="469" customWidth="1"/>
    <col min="261" max="261" width="11.85546875" style="469" customWidth="1"/>
    <col min="262" max="262" width="18.85546875" style="469" customWidth="1"/>
    <col min="263" max="263" width="10.140625" style="469" customWidth="1"/>
    <col min="264" max="264" width="14.7109375" style="469" customWidth="1"/>
    <col min="265" max="265" width="15.28515625" style="469" customWidth="1"/>
    <col min="266" max="266" width="14.7109375" style="469" customWidth="1"/>
    <col min="267" max="267" width="11.85546875" style="469" customWidth="1"/>
    <col min="268" max="512" width="9.140625" style="469"/>
    <col min="513" max="513" width="4.7109375" style="469" customWidth="1"/>
    <col min="514" max="514" width="14.7109375" style="469" customWidth="1"/>
    <col min="515" max="515" width="11.7109375" style="469" customWidth="1"/>
    <col min="516" max="516" width="12" style="469" customWidth="1"/>
    <col min="517" max="517" width="11.85546875" style="469" customWidth="1"/>
    <col min="518" max="518" width="18.85546875" style="469" customWidth="1"/>
    <col min="519" max="519" width="10.140625" style="469" customWidth="1"/>
    <col min="520" max="520" width="14.7109375" style="469" customWidth="1"/>
    <col min="521" max="521" width="15.28515625" style="469" customWidth="1"/>
    <col min="522" max="522" width="14.7109375" style="469" customWidth="1"/>
    <col min="523" max="523" width="11.85546875" style="469" customWidth="1"/>
    <col min="524" max="768" width="9.140625" style="469"/>
    <col min="769" max="769" width="4.7109375" style="469" customWidth="1"/>
    <col min="770" max="770" width="14.7109375" style="469" customWidth="1"/>
    <col min="771" max="771" width="11.7109375" style="469" customWidth="1"/>
    <col min="772" max="772" width="12" style="469" customWidth="1"/>
    <col min="773" max="773" width="11.85546875" style="469" customWidth="1"/>
    <col min="774" max="774" width="18.85546875" style="469" customWidth="1"/>
    <col min="775" max="775" width="10.140625" style="469" customWidth="1"/>
    <col min="776" max="776" width="14.7109375" style="469" customWidth="1"/>
    <col min="777" max="777" width="15.28515625" style="469" customWidth="1"/>
    <col min="778" max="778" width="14.7109375" style="469" customWidth="1"/>
    <col min="779" max="779" width="11.85546875" style="469" customWidth="1"/>
    <col min="780" max="1024" width="9.140625" style="469"/>
    <col min="1025" max="1025" width="4.7109375" style="469" customWidth="1"/>
    <col min="1026" max="1026" width="14.7109375" style="469" customWidth="1"/>
    <col min="1027" max="1027" width="11.7109375" style="469" customWidth="1"/>
    <col min="1028" max="1028" width="12" style="469" customWidth="1"/>
    <col min="1029" max="1029" width="11.85546875" style="469" customWidth="1"/>
    <col min="1030" max="1030" width="18.85546875" style="469" customWidth="1"/>
    <col min="1031" max="1031" width="10.140625" style="469" customWidth="1"/>
    <col min="1032" max="1032" width="14.7109375" style="469" customWidth="1"/>
    <col min="1033" max="1033" width="15.28515625" style="469" customWidth="1"/>
    <col min="1034" max="1034" width="14.7109375" style="469" customWidth="1"/>
    <col min="1035" max="1035" width="11.85546875" style="469" customWidth="1"/>
    <col min="1036" max="1280" width="9.140625" style="469"/>
    <col min="1281" max="1281" width="4.7109375" style="469" customWidth="1"/>
    <col min="1282" max="1282" width="14.7109375" style="469" customWidth="1"/>
    <col min="1283" max="1283" width="11.7109375" style="469" customWidth="1"/>
    <col min="1284" max="1284" width="12" style="469" customWidth="1"/>
    <col min="1285" max="1285" width="11.85546875" style="469" customWidth="1"/>
    <col min="1286" max="1286" width="18.85546875" style="469" customWidth="1"/>
    <col min="1287" max="1287" width="10.140625" style="469" customWidth="1"/>
    <col min="1288" max="1288" width="14.7109375" style="469" customWidth="1"/>
    <col min="1289" max="1289" width="15.28515625" style="469" customWidth="1"/>
    <col min="1290" max="1290" width="14.7109375" style="469" customWidth="1"/>
    <col min="1291" max="1291" width="11.85546875" style="469" customWidth="1"/>
    <col min="1292" max="1536" width="9.140625" style="469"/>
    <col min="1537" max="1537" width="4.7109375" style="469" customWidth="1"/>
    <col min="1538" max="1538" width="14.7109375" style="469" customWidth="1"/>
    <col min="1539" max="1539" width="11.7109375" style="469" customWidth="1"/>
    <col min="1540" max="1540" width="12" style="469" customWidth="1"/>
    <col min="1541" max="1541" width="11.85546875" style="469" customWidth="1"/>
    <col min="1542" max="1542" width="18.85546875" style="469" customWidth="1"/>
    <col min="1543" max="1543" width="10.140625" style="469" customWidth="1"/>
    <col min="1544" max="1544" width="14.7109375" style="469" customWidth="1"/>
    <col min="1545" max="1545" width="15.28515625" style="469" customWidth="1"/>
    <col min="1546" max="1546" width="14.7109375" style="469" customWidth="1"/>
    <col min="1547" max="1547" width="11.85546875" style="469" customWidth="1"/>
    <col min="1548" max="1792" width="9.140625" style="469"/>
    <col min="1793" max="1793" width="4.7109375" style="469" customWidth="1"/>
    <col min="1794" max="1794" width="14.7109375" style="469" customWidth="1"/>
    <col min="1795" max="1795" width="11.7109375" style="469" customWidth="1"/>
    <col min="1796" max="1796" width="12" style="469" customWidth="1"/>
    <col min="1797" max="1797" width="11.85546875" style="469" customWidth="1"/>
    <col min="1798" max="1798" width="18.85546875" style="469" customWidth="1"/>
    <col min="1799" max="1799" width="10.140625" style="469" customWidth="1"/>
    <col min="1800" max="1800" width="14.7109375" style="469" customWidth="1"/>
    <col min="1801" max="1801" width="15.28515625" style="469" customWidth="1"/>
    <col min="1802" max="1802" width="14.7109375" style="469" customWidth="1"/>
    <col min="1803" max="1803" width="11.85546875" style="469" customWidth="1"/>
    <col min="1804" max="2048" width="9.140625" style="469"/>
    <col min="2049" max="2049" width="4.7109375" style="469" customWidth="1"/>
    <col min="2050" max="2050" width="14.7109375" style="469" customWidth="1"/>
    <col min="2051" max="2051" width="11.7109375" style="469" customWidth="1"/>
    <col min="2052" max="2052" width="12" style="469" customWidth="1"/>
    <col min="2053" max="2053" width="11.85546875" style="469" customWidth="1"/>
    <col min="2054" max="2054" width="18.85546875" style="469" customWidth="1"/>
    <col min="2055" max="2055" width="10.140625" style="469" customWidth="1"/>
    <col min="2056" max="2056" width="14.7109375" style="469" customWidth="1"/>
    <col min="2057" max="2057" width="15.28515625" style="469" customWidth="1"/>
    <col min="2058" max="2058" width="14.7109375" style="469" customWidth="1"/>
    <col min="2059" max="2059" width="11.85546875" style="469" customWidth="1"/>
    <col min="2060" max="2304" width="9.140625" style="469"/>
    <col min="2305" max="2305" width="4.7109375" style="469" customWidth="1"/>
    <col min="2306" max="2306" width="14.7109375" style="469" customWidth="1"/>
    <col min="2307" max="2307" width="11.7109375" style="469" customWidth="1"/>
    <col min="2308" max="2308" width="12" style="469" customWidth="1"/>
    <col min="2309" max="2309" width="11.85546875" style="469" customWidth="1"/>
    <col min="2310" max="2310" width="18.85546875" style="469" customWidth="1"/>
    <col min="2311" max="2311" width="10.140625" style="469" customWidth="1"/>
    <col min="2312" max="2312" width="14.7109375" style="469" customWidth="1"/>
    <col min="2313" max="2313" width="15.28515625" style="469" customWidth="1"/>
    <col min="2314" max="2314" width="14.7109375" style="469" customWidth="1"/>
    <col min="2315" max="2315" width="11.85546875" style="469" customWidth="1"/>
    <col min="2316" max="2560" width="9.140625" style="469"/>
    <col min="2561" max="2561" width="4.7109375" style="469" customWidth="1"/>
    <col min="2562" max="2562" width="14.7109375" style="469" customWidth="1"/>
    <col min="2563" max="2563" width="11.7109375" style="469" customWidth="1"/>
    <col min="2564" max="2564" width="12" style="469" customWidth="1"/>
    <col min="2565" max="2565" width="11.85546875" style="469" customWidth="1"/>
    <col min="2566" max="2566" width="18.85546875" style="469" customWidth="1"/>
    <col min="2567" max="2567" width="10.140625" style="469" customWidth="1"/>
    <col min="2568" max="2568" width="14.7109375" style="469" customWidth="1"/>
    <col min="2569" max="2569" width="15.28515625" style="469" customWidth="1"/>
    <col min="2570" max="2570" width="14.7109375" style="469" customWidth="1"/>
    <col min="2571" max="2571" width="11.85546875" style="469" customWidth="1"/>
    <col min="2572" max="2816" width="9.140625" style="469"/>
    <col min="2817" max="2817" width="4.7109375" style="469" customWidth="1"/>
    <col min="2818" max="2818" width="14.7109375" style="469" customWidth="1"/>
    <col min="2819" max="2819" width="11.7109375" style="469" customWidth="1"/>
    <col min="2820" max="2820" width="12" style="469" customWidth="1"/>
    <col min="2821" max="2821" width="11.85546875" style="469" customWidth="1"/>
    <col min="2822" max="2822" width="18.85546875" style="469" customWidth="1"/>
    <col min="2823" max="2823" width="10.140625" style="469" customWidth="1"/>
    <col min="2824" max="2824" width="14.7109375" style="469" customWidth="1"/>
    <col min="2825" max="2825" width="15.28515625" style="469" customWidth="1"/>
    <col min="2826" max="2826" width="14.7109375" style="469" customWidth="1"/>
    <col min="2827" max="2827" width="11.85546875" style="469" customWidth="1"/>
    <col min="2828" max="3072" width="9.140625" style="469"/>
    <col min="3073" max="3073" width="4.7109375" style="469" customWidth="1"/>
    <col min="3074" max="3074" width="14.7109375" style="469" customWidth="1"/>
    <col min="3075" max="3075" width="11.7109375" style="469" customWidth="1"/>
    <col min="3076" max="3076" width="12" style="469" customWidth="1"/>
    <col min="3077" max="3077" width="11.85546875" style="469" customWidth="1"/>
    <col min="3078" max="3078" width="18.85546875" style="469" customWidth="1"/>
    <col min="3079" max="3079" width="10.140625" style="469" customWidth="1"/>
    <col min="3080" max="3080" width="14.7109375" style="469" customWidth="1"/>
    <col min="3081" max="3081" width="15.28515625" style="469" customWidth="1"/>
    <col min="3082" max="3082" width="14.7109375" style="469" customWidth="1"/>
    <col min="3083" max="3083" width="11.85546875" style="469" customWidth="1"/>
    <col min="3084" max="3328" width="9.140625" style="469"/>
    <col min="3329" max="3329" width="4.7109375" style="469" customWidth="1"/>
    <col min="3330" max="3330" width="14.7109375" style="469" customWidth="1"/>
    <col min="3331" max="3331" width="11.7109375" style="469" customWidth="1"/>
    <col min="3332" max="3332" width="12" style="469" customWidth="1"/>
    <col min="3333" max="3333" width="11.85546875" style="469" customWidth="1"/>
    <col min="3334" max="3334" width="18.85546875" style="469" customWidth="1"/>
    <col min="3335" max="3335" width="10.140625" style="469" customWidth="1"/>
    <col min="3336" max="3336" width="14.7109375" style="469" customWidth="1"/>
    <col min="3337" max="3337" width="15.28515625" style="469" customWidth="1"/>
    <col min="3338" max="3338" width="14.7109375" style="469" customWidth="1"/>
    <col min="3339" max="3339" width="11.85546875" style="469" customWidth="1"/>
    <col min="3340" max="3584" width="9.140625" style="469"/>
    <col min="3585" max="3585" width="4.7109375" style="469" customWidth="1"/>
    <col min="3586" max="3586" width="14.7109375" style="469" customWidth="1"/>
    <col min="3587" max="3587" width="11.7109375" style="469" customWidth="1"/>
    <col min="3588" max="3588" width="12" style="469" customWidth="1"/>
    <col min="3589" max="3589" width="11.85546875" style="469" customWidth="1"/>
    <col min="3590" max="3590" width="18.85546875" style="469" customWidth="1"/>
    <col min="3591" max="3591" width="10.140625" style="469" customWidth="1"/>
    <col min="3592" max="3592" width="14.7109375" style="469" customWidth="1"/>
    <col min="3593" max="3593" width="15.28515625" style="469" customWidth="1"/>
    <col min="3594" max="3594" width="14.7109375" style="469" customWidth="1"/>
    <col min="3595" max="3595" width="11.85546875" style="469" customWidth="1"/>
    <col min="3596" max="3840" width="9.140625" style="469"/>
    <col min="3841" max="3841" width="4.7109375" style="469" customWidth="1"/>
    <col min="3842" max="3842" width="14.7109375" style="469" customWidth="1"/>
    <col min="3843" max="3843" width="11.7109375" style="469" customWidth="1"/>
    <col min="3844" max="3844" width="12" style="469" customWidth="1"/>
    <col min="3845" max="3845" width="11.85546875" style="469" customWidth="1"/>
    <col min="3846" max="3846" width="18.85546875" style="469" customWidth="1"/>
    <col min="3847" max="3847" width="10.140625" style="469" customWidth="1"/>
    <col min="3848" max="3848" width="14.7109375" style="469" customWidth="1"/>
    <col min="3849" max="3849" width="15.28515625" style="469" customWidth="1"/>
    <col min="3850" max="3850" width="14.7109375" style="469" customWidth="1"/>
    <col min="3851" max="3851" width="11.85546875" style="469" customWidth="1"/>
    <col min="3852" max="4096" width="9.140625" style="469"/>
    <col min="4097" max="4097" width="4.7109375" style="469" customWidth="1"/>
    <col min="4098" max="4098" width="14.7109375" style="469" customWidth="1"/>
    <col min="4099" max="4099" width="11.7109375" style="469" customWidth="1"/>
    <col min="4100" max="4100" width="12" style="469" customWidth="1"/>
    <col min="4101" max="4101" width="11.85546875" style="469" customWidth="1"/>
    <col min="4102" max="4102" width="18.85546875" style="469" customWidth="1"/>
    <col min="4103" max="4103" width="10.140625" style="469" customWidth="1"/>
    <col min="4104" max="4104" width="14.7109375" style="469" customWidth="1"/>
    <col min="4105" max="4105" width="15.28515625" style="469" customWidth="1"/>
    <col min="4106" max="4106" width="14.7109375" style="469" customWidth="1"/>
    <col min="4107" max="4107" width="11.85546875" style="469" customWidth="1"/>
    <col min="4108" max="4352" width="9.140625" style="469"/>
    <col min="4353" max="4353" width="4.7109375" style="469" customWidth="1"/>
    <col min="4354" max="4354" width="14.7109375" style="469" customWidth="1"/>
    <col min="4355" max="4355" width="11.7109375" style="469" customWidth="1"/>
    <col min="4356" max="4356" width="12" style="469" customWidth="1"/>
    <col min="4357" max="4357" width="11.85546875" style="469" customWidth="1"/>
    <col min="4358" max="4358" width="18.85546875" style="469" customWidth="1"/>
    <col min="4359" max="4359" width="10.140625" style="469" customWidth="1"/>
    <col min="4360" max="4360" width="14.7109375" style="469" customWidth="1"/>
    <col min="4361" max="4361" width="15.28515625" style="469" customWidth="1"/>
    <col min="4362" max="4362" width="14.7109375" style="469" customWidth="1"/>
    <col min="4363" max="4363" width="11.85546875" style="469" customWidth="1"/>
    <col min="4364" max="4608" width="9.140625" style="469"/>
    <col min="4609" max="4609" width="4.7109375" style="469" customWidth="1"/>
    <col min="4610" max="4610" width="14.7109375" style="469" customWidth="1"/>
    <col min="4611" max="4611" width="11.7109375" style="469" customWidth="1"/>
    <col min="4612" max="4612" width="12" style="469" customWidth="1"/>
    <col min="4613" max="4613" width="11.85546875" style="469" customWidth="1"/>
    <col min="4614" max="4614" width="18.85546875" style="469" customWidth="1"/>
    <col min="4615" max="4615" width="10.140625" style="469" customWidth="1"/>
    <col min="4616" max="4616" width="14.7109375" style="469" customWidth="1"/>
    <col min="4617" max="4617" width="15.28515625" style="469" customWidth="1"/>
    <col min="4618" max="4618" width="14.7109375" style="469" customWidth="1"/>
    <col min="4619" max="4619" width="11.85546875" style="469" customWidth="1"/>
    <col min="4620" max="4864" width="9.140625" style="469"/>
    <col min="4865" max="4865" width="4.7109375" style="469" customWidth="1"/>
    <col min="4866" max="4866" width="14.7109375" style="469" customWidth="1"/>
    <col min="4867" max="4867" width="11.7109375" style="469" customWidth="1"/>
    <col min="4868" max="4868" width="12" style="469" customWidth="1"/>
    <col min="4869" max="4869" width="11.85546875" style="469" customWidth="1"/>
    <col min="4870" max="4870" width="18.85546875" style="469" customWidth="1"/>
    <col min="4871" max="4871" width="10.140625" style="469" customWidth="1"/>
    <col min="4872" max="4872" width="14.7109375" style="469" customWidth="1"/>
    <col min="4873" max="4873" width="15.28515625" style="469" customWidth="1"/>
    <col min="4874" max="4874" width="14.7109375" style="469" customWidth="1"/>
    <col min="4875" max="4875" width="11.85546875" style="469" customWidth="1"/>
    <col min="4876" max="5120" width="9.140625" style="469"/>
    <col min="5121" max="5121" width="4.7109375" style="469" customWidth="1"/>
    <col min="5122" max="5122" width="14.7109375" style="469" customWidth="1"/>
    <col min="5123" max="5123" width="11.7109375" style="469" customWidth="1"/>
    <col min="5124" max="5124" width="12" style="469" customWidth="1"/>
    <col min="5125" max="5125" width="11.85546875" style="469" customWidth="1"/>
    <col min="5126" max="5126" width="18.85546875" style="469" customWidth="1"/>
    <col min="5127" max="5127" width="10.140625" style="469" customWidth="1"/>
    <col min="5128" max="5128" width="14.7109375" style="469" customWidth="1"/>
    <col min="5129" max="5129" width="15.28515625" style="469" customWidth="1"/>
    <col min="5130" max="5130" width="14.7109375" style="469" customWidth="1"/>
    <col min="5131" max="5131" width="11.85546875" style="469" customWidth="1"/>
    <col min="5132" max="5376" width="9.140625" style="469"/>
    <col min="5377" max="5377" width="4.7109375" style="469" customWidth="1"/>
    <col min="5378" max="5378" width="14.7109375" style="469" customWidth="1"/>
    <col min="5379" max="5379" width="11.7109375" style="469" customWidth="1"/>
    <col min="5380" max="5380" width="12" style="469" customWidth="1"/>
    <col min="5381" max="5381" width="11.85546875" style="469" customWidth="1"/>
    <col min="5382" max="5382" width="18.85546875" style="469" customWidth="1"/>
    <col min="5383" max="5383" width="10.140625" style="469" customWidth="1"/>
    <col min="5384" max="5384" width="14.7109375" style="469" customWidth="1"/>
    <col min="5385" max="5385" width="15.28515625" style="469" customWidth="1"/>
    <col min="5386" max="5386" width="14.7109375" style="469" customWidth="1"/>
    <col min="5387" max="5387" width="11.85546875" style="469" customWidth="1"/>
    <col min="5388" max="5632" width="9.140625" style="469"/>
    <col min="5633" max="5633" width="4.7109375" style="469" customWidth="1"/>
    <col min="5634" max="5634" width="14.7109375" style="469" customWidth="1"/>
    <col min="5635" max="5635" width="11.7109375" style="469" customWidth="1"/>
    <col min="5636" max="5636" width="12" style="469" customWidth="1"/>
    <col min="5637" max="5637" width="11.85546875" style="469" customWidth="1"/>
    <col min="5638" max="5638" width="18.85546875" style="469" customWidth="1"/>
    <col min="5639" max="5639" width="10.140625" style="469" customWidth="1"/>
    <col min="5640" max="5640" width="14.7109375" style="469" customWidth="1"/>
    <col min="5641" max="5641" width="15.28515625" style="469" customWidth="1"/>
    <col min="5642" max="5642" width="14.7109375" style="469" customWidth="1"/>
    <col min="5643" max="5643" width="11.85546875" style="469" customWidth="1"/>
    <col min="5644" max="5888" width="9.140625" style="469"/>
    <col min="5889" max="5889" width="4.7109375" style="469" customWidth="1"/>
    <col min="5890" max="5890" width="14.7109375" style="469" customWidth="1"/>
    <col min="5891" max="5891" width="11.7109375" style="469" customWidth="1"/>
    <col min="5892" max="5892" width="12" style="469" customWidth="1"/>
    <col min="5893" max="5893" width="11.85546875" style="469" customWidth="1"/>
    <col min="5894" max="5894" width="18.85546875" style="469" customWidth="1"/>
    <col min="5895" max="5895" width="10.140625" style="469" customWidth="1"/>
    <col min="5896" max="5896" width="14.7109375" style="469" customWidth="1"/>
    <col min="5897" max="5897" width="15.28515625" style="469" customWidth="1"/>
    <col min="5898" max="5898" width="14.7109375" style="469" customWidth="1"/>
    <col min="5899" max="5899" width="11.85546875" style="469" customWidth="1"/>
    <col min="5900" max="6144" width="9.140625" style="469"/>
    <col min="6145" max="6145" width="4.7109375" style="469" customWidth="1"/>
    <col min="6146" max="6146" width="14.7109375" style="469" customWidth="1"/>
    <col min="6147" max="6147" width="11.7109375" style="469" customWidth="1"/>
    <col min="6148" max="6148" width="12" style="469" customWidth="1"/>
    <col min="6149" max="6149" width="11.85546875" style="469" customWidth="1"/>
    <col min="6150" max="6150" width="18.85546875" style="469" customWidth="1"/>
    <col min="6151" max="6151" width="10.140625" style="469" customWidth="1"/>
    <col min="6152" max="6152" width="14.7109375" style="469" customWidth="1"/>
    <col min="6153" max="6153" width="15.28515625" style="469" customWidth="1"/>
    <col min="6154" max="6154" width="14.7109375" style="469" customWidth="1"/>
    <col min="6155" max="6155" width="11.85546875" style="469" customWidth="1"/>
    <col min="6156" max="6400" width="9.140625" style="469"/>
    <col min="6401" max="6401" width="4.7109375" style="469" customWidth="1"/>
    <col min="6402" max="6402" width="14.7109375" style="469" customWidth="1"/>
    <col min="6403" max="6403" width="11.7109375" style="469" customWidth="1"/>
    <col min="6404" max="6404" width="12" style="469" customWidth="1"/>
    <col min="6405" max="6405" width="11.85546875" style="469" customWidth="1"/>
    <col min="6406" max="6406" width="18.85546875" style="469" customWidth="1"/>
    <col min="6407" max="6407" width="10.140625" style="469" customWidth="1"/>
    <col min="6408" max="6408" width="14.7109375" style="469" customWidth="1"/>
    <col min="6409" max="6409" width="15.28515625" style="469" customWidth="1"/>
    <col min="6410" max="6410" width="14.7109375" style="469" customWidth="1"/>
    <col min="6411" max="6411" width="11.85546875" style="469" customWidth="1"/>
    <col min="6412" max="6656" width="9.140625" style="469"/>
    <col min="6657" max="6657" width="4.7109375" style="469" customWidth="1"/>
    <col min="6658" max="6658" width="14.7109375" style="469" customWidth="1"/>
    <col min="6659" max="6659" width="11.7109375" style="469" customWidth="1"/>
    <col min="6660" max="6660" width="12" style="469" customWidth="1"/>
    <col min="6661" max="6661" width="11.85546875" style="469" customWidth="1"/>
    <col min="6662" max="6662" width="18.85546875" style="469" customWidth="1"/>
    <col min="6663" max="6663" width="10.140625" style="469" customWidth="1"/>
    <col min="6664" max="6664" width="14.7109375" style="469" customWidth="1"/>
    <col min="6665" max="6665" width="15.28515625" style="469" customWidth="1"/>
    <col min="6666" max="6666" width="14.7109375" style="469" customWidth="1"/>
    <col min="6667" max="6667" width="11.85546875" style="469" customWidth="1"/>
    <col min="6668" max="6912" width="9.140625" style="469"/>
    <col min="6913" max="6913" width="4.7109375" style="469" customWidth="1"/>
    <col min="6914" max="6914" width="14.7109375" style="469" customWidth="1"/>
    <col min="6915" max="6915" width="11.7109375" style="469" customWidth="1"/>
    <col min="6916" max="6916" width="12" style="469" customWidth="1"/>
    <col min="6917" max="6917" width="11.85546875" style="469" customWidth="1"/>
    <col min="6918" max="6918" width="18.85546875" style="469" customWidth="1"/>
    <col min="6919" max="6919" width="10.140625" style="469" customWidth="1"/>
    <col min="6920" max="6920" width="14.7109375" style="469" customWidth="1"/>
    <col min="6921" max="6921" width="15.28515625" style="469" customWidth="1"/>
    <col min="6922" max="6922" width="14.7109375" style="469" customWidth="1"/>
    <col min="6923" max="6923" width="11.85546875" style="469" customWidth="1"/>
    <col min="6924" max="7168" width="9.140625" style="469"/>
    <col min="7169" max="7169" width="4.7109375" style="469" customWidth="1"/>
    <col min="7170" max="7170" width="14.7109375" style="469" customWidth="1"/>
    <col min="7171" max="7171" width="11.7109375" style="469" customWidth="1"/>
    <col min="7172" max="7172" width="12" style="469" customWidth="1"/>
    <col min="7173" max="7173" width="11.85546875" style="469" customWidth="1"/>
    <col min="7174" max="7174" width="18.85546875" style="469" customWidth="1"/>
    <col min="7175" max="7175" width="10.140625" style="469" customWidth="1"/>
    <col min="7176" max="7176" width="14.7109375" style="469" customWidth="1"/>
    <col min="7177" max="7177" width="15.28515625" style="469" customWidth="1"/>
    <col min="7178" max="7178" width="14.7109375" style="469" customWidth="1"/>
    <col min="7179" max="7179" width="11.85546875" style="469" customWidth="1"/>
    <col min="7180" max="7424" width="9.140625" style="469"/>
    <col min="7425" max="7425" width="4.7109375" style="469" customWidth="1"/>
    <col min="7426" max="7426" width="14.7109375" style="469" customWidth="1"/>
    <col min="7427" max="7427" width="11.7109375" style="469" customWidth="1"/>
    <col min="7428" max="7428" width="12" style="469" customWidth="1"/>
    <col min="7429" max="7429" width="11.85546875" style="469" customWidth="1"/>
    <col min="7430" max="7430" width="18.85546875" style="469" customWidth="1"/>
    <col min="7431" max="7431" width="10.140625" style="469" customWidth="1"/>
    <col min="7432" max="7432" width="14.7109375" style="469" customWidth="1"/>
    <col min="7433" max="7433" width="15.28515625" style="469" customWidth="1"/>
    <col min="7434" max="7434" width="14.7109375" style="469" customWidth="1"/>
    <col min="7435" max="7435" width="11.85546875" style="469" customWidth="1"/>
    <col min="7436" max="7680" width="9.140625" style="469"/>
    <col min="7681" max="7681" width="4.7109375" style="469" customWidth="1"/>
    <col min="7682" max="7682" width="14.7109375" style="469" customWidth="1"/>
    <col min="7683" max="7683" width="11.7109375" style="469" customWidth="1"/>
    <col min="7684" max="7684" width="12" style="469" customWidth="1"/>
    <col min="7685" max="7685" width="11.85546875" style="469" customWidth="1"/>
    <col min="7686" max="7686" width="18.85546875" style="469" customWidth="1"/>
    <col min="7687" max="7687" width="10.140625" style="469" customWidth="1"/>
    <col min="7688" max="7688" width="14.7109375" style="469" customWidth="1"/>
    <col min="7689" max="7689" width="15.28515625" style="469" customWidth="1"/>
    <col min="7690" max="7690" width="14.7109375" style="469" customWidth="1"/>
    <col min="7691" max="7691" width="11.85546875" style="469" customWidth="1"/>
    <col min="7692" max="7936" width="9.140625" style="469"/>
    <col min="7937" max="7937" width="4.7109375" style="469" customWidth="1"/>
    <col min="7938" max="7938" width="14.7109375" style="469" customWidth="1"/>
    <col min="7939" max="7939" width="11.7109375" style="469" customWidth="1"/>
    <col min="7940" max="7940" width="12" style="469" customWidth="1"/>
    <col min="7941" max="7941" width="11.85546875" style="469" customWidth="1"/>
    <col min="7942" max="7942" width="18.85546875" style="469" customWidth="1"/>
    <col min="7943" max="7943" width="10.140625" style="469" customWidth="1"/>
    <col min="7944" max="7944" width="14.7109375" style="469" customWidth="1"/>
    <col min="7945" max="7945" width="15.28515625" style="469" customWidth="1"/>
    <col min="7946" max="7946" width="14.7109375" style="469" customWidth="1"/>
    <col min="7947" max="7947" width="11.85546875" style="469" customWidth="1"/>
    <col min="7948" max="8192" width="9.140625" style="469"/>
    <col min="8193" max="8193" width="4.7109375" style="469" customWidth="1"/>
    <col min="8194" max="8194" width="14.7109375" style="469" customWidth="1"/>
    <col min="8195" max="8195" width="11.7109375" style="469" customWidth="1"/>
    <col min="8196" max="8196" width="12" style="469" customWidth="1"/>
    <col min="8197" max="8197" width="11.85546875" style="469" customWidth="1"/>
    <col min="8198" max="8198" width="18.85546875" style="469" customWidth="1"/>
    <col min="8199" max="8199" width="10.140625" style="469" customWidth="1"/>
    <col min="8200" max="8200" width="14.7109375" style="469" customWidth="1"/>
    <col min="8201" max="8201" width="15.28515625" style="469" customWidth="1"/>
    <col min="8202" max="8202" width="14.7109375" style="469" customWidth="1"/>
    <col min="8203" max="8203" width="11.85546875" style="469" customWidth="1"/>
    <col min="8204" max="8448" width="9.140625" style="469"/>
    <col min="8449" max="8449" width="4.7109375" style="469" customWidth="1"/>
    <col min="8450" max="8450" width="14.7109375" style="469" customWidth="1"/>
    <col min="8451" max="8451" width="11.7109375" style="469" customWidth="1"/>
    <col min="8452" max="8452" width="12" style="469" customWidth="1"/>
    <col min="8453" max="8453" width="11.85546875" style="469" customWidth="1"/>
    <col min="8454" max="8454" width="18.85546875" style="469" customWidth="1"/>
    <col min="8455" max="8455" width="10.140625" style="469" customWidth="1"/>
    <col min="8456" max="8456" width="14.7109375" style="469" customWidth="1"/>
    <col min="8457" max="8457" width="15.28515625" style="469" customWidth="1"/>
    <col min="8458" max="8458" width="14.7109375" style="469" customWidth="1"/>
    <col min="8459" max="8459" width="11.85546875" style="469" customWidth="1"/>
    <col min="8460" max="8704" width="9.140625" style="469"/>
    <col min="8705" max="8705" width="4.7109375" style="469" customWidth="1"/>
    <col min="8706" max="8706" width="14.7109375" style="469" customWidth="1"/>
    <col min="8707" max="8707" width="11.7109375" style="469" customWidth="1"/>
    <col min="8708" max="8708" width="12" style="469" customWidth="1"/>
    <col min="8709" max="8709" width="11.85546875" style="469" customWidth="1"/>
    <col min="8710" max="8710" width="18.85546875" style="469" customWidth="1"/>
    <col min="8711" max="8711" width="10.140625" style="469" customWidth="1"/>
    <col min="8712" max="8712" width="14.7109375" style="469" customWidth="1"/>
    <col min="8713" max="8713" width="15.28515625" style="469" customWidth="1"/>
    <col min="8714" max="8714" width="14.7109375" style="469" customWidth="1"/>
    <col min="8715" max="8715" width="11.85546875" style="469" customWidth="1"/>
    <col min="8716" max="8960" width="9.140625" style="469"/>
    <col min="8961" max="8961" width="4.7109375" style="469" customWidth="1"/>
    <col min="8962" max="8962" width="14.7109375" style="469" customWidth="1"/>
    <col min="8963" max="8963" width="11.7109375" style="469" customWidth="1"/>
    <col min="8964" max="8964" width="12" style="469" customWidth="1"/>
    <col min="8965" max="8965" width="11.85546875" style="469" customWidth="1"/>
    <col min="8966" max="8966" width="18.85546875" style="469" customWidth="1"/>
    <col min="8967" max="8967" width="10.140625" style="469" customWidth="1"/>
    <col min="8968" max="8968" width="14.7109375" style="469" customWidth="1"/>
    <col min="8969" max="8969" width="15.28515625" style="469" customWidth="1"/>
    <col min="8970" max="8970" width="14.7109375" style="469" customWidth="1"/>
    <col min="8971" max="8971" width="11.85546875" style="469" customWidth="1"/>
    <col min="8972" max="9216" width="9.140625" style="469"/>
    <col min="9217" max="9217" width="4.7109375" style="469" customWidth="1"/>
    <col min="9218" max="9218" width="14.7109375" style="469" customWidth="1"/>
    <col min="9219" max="9219" width="11.7109375" style="469" customWidth="1"/>
    <col min="9220" max="9220" width="12" style="469" customWidth="1"/>
    <col min="9221" max="9221" width="11.85546875" style="469" customWidth="1"/>
    <col min="9222" max="9222" width="18.85546875" style="469" customWidth="1"/>
    <col min="9223" max="9223" width="10.140625" style="469" customWidth="1"/>
    <col min="9224" max="9224" width="14.7109375" style="469" customWidth="1"/>
    <col min="9225" max="9225" width="15.28515625" style="469" customWidth="1"/>
    <col min="9226" max="9226" width="14.7109375" style="469" customWidth="1"/>
    <col min="9227" max="9227" width="11.85546875" style="469" customWidth="1"/>
    <col min="9228" max="9472" width="9.140625" style="469"/>
    <col min="9473" max="9473" width="4.7109375" style="469" customWidth="1"/>
    <col min="9474" max="9474" width="14.7109375" style="469" customWidth="1"/>
    <col min="9475" max="9475" width="11.7109375" style="469" customWidth="1"/>
    <col min="9476" max="9476" width="12" style="469" customWidth="1"/>
    <col min="9477" max="9477" width="11.85546875" style="469" customWidth="1"/>
    <col min="9478" max="9478" width="18.85546875" style="469" customWidth="1"/>
    <col min="9479" max="9479" width="10.140625" style="469" customWidth="1"/>
    <col min="9480" max="9480" width="14.7109375" style="469" customWidth="1"/>
    <col min="9481" max="9481" width="15.28515625" style="469" customWidth="1"/>
    <col min="9482" max="9482" width="14.7109375" style="469" customWidth="1"/>
    <col min="9483" max="9483" width="11.85546875" style="469" customWidth="1"/>
    <col min="9484" max="9728" width="9.140625" style="469"/>
    <col min="9729" max="9729" width="4.7109375" style="469" customWidth="1"/>
    <col min="9730" max="9730" width="14.7109375" style="469" customWidth="1"/>
    <col min="9731" max="9731" width="11.7109375" style="469" customWidth="1"/>
    <col min="9732" max="9732" width="12" style="469" customWidth="1"/>
    <col min="9733" max="9733" width="11.85546875" style="469" customWidth="1"/>
    <col min="9734" max="9734" width="18.85546875" style="469" customWidth="1"/>
    <col min="9735" max="9735" width="10.140625" style="469" customWidth="1"/>
    <col min="9736" max="9736" width="14.7109375" style="469" customWidth="1"/>
    <col min="9737" max="9737" width="15.28515625" style="469" customWidth="1"/>
    <col min="9738" max="9738" width="14.7109375" style="469" customWidth="1"/>
    <col min="9739" max="9739" width="11.85546875" style="469" customWidth="1"/>
    <col min="9740" max="9984" width="9.140625" style="469"/>
    <col min="9985" max="9985" width="4.7109375" style="469" customWidth="1"/>
    <col min="9986" max="9986" width="14.7109375" style="469" customWidth="1"/>
    <col min="9987" max="9987" width="11.7109375" style="469" customWidth="1"/>
    <col min="9988" max="9988" width="12" style="469" customWidth="1"/>
    <col min="9989" max="9989" width="11.85546875" style="469" customWidth="1"/>
    <col min="9990" max="9990" width="18.85546875" style="469" customWidth="1"/>
    <col min="9991" max="9991" width="10.140625" style="469" customWidth="1"/>
    <col min="9992" max="9992" width="14.7109375" style="469" customWidth="1"/>
    <col min="9993" max="9993" width="15.28515625" style="469" customWidth="1"/>
    <col min="9994" max="9994" width="14.7109375" style="469" customWidth="1"/>
    <col min="9995" max="9995" width="11.85546875" style="469" customWidth="1"/>
    <col min="9996" max="10240" width="9.140625" style="469"/>
    <col min="10241" max="10241" width="4.7109375" style="469" customWidth="1"/>
    <col min="10242" max="10242" width="14.7109375" style="469" customWidth="1"/>
    <col min="10243" max="10243" width="11.7109375" style="469" customWidth="1"/>
    <col min="10244" max="10244" width="12" style="469" customWidth="1"/>
    <col min="10245" max="10245" width="11.85546875" style="469" customWidth="1"/>
    <col min="10246" max="10246" width="18.85546875" style="469" customWidth="1"/>
    <col min="10247" max="10247" width="10.140625" style="469" customWidth="1"/>
    <col min="10248" max="10248" width="14.7109375" style="469" customWidth="1"/>
    <col min="10249" max="10249" width="15.28515625" style="469" customWidth="1"/>
    <col min="10250" max="10250" width="14.7109375" style="469" customWidth="1"/>
    <col min="10251" max="10251" width="11.85546875" style="469" customWidth="1"/>
    <col min="10252" max="10496" width="9.140625" style="469"/>
    <col min="10497" max="10497" width="4.7109375" style="469" customWidth="1"/>
    <col min="10498" max="10498" width="14.7109375" style="469" customWidth="1"/>
    <col min="10499" max="10499" width="11.7109375" style="469" customWidth="1"/>
    <col min="10500" max="10500" width="12" style="469" customWidth="1"/>
    <col min="10501" max="10501" width="11.85546875" style="469" customWidth="1"/>
    <col min="10502" max="10502" width="18.85546875" style="469" customWidth="1"/>
    <col min="10503" max="10503" width="10.140625" style="469" customWidth="1"/>
    <col min="10504" max="10504" width="14.7109375" style="469" customWidth="1"/>
    <col min="10505" max="10505" width="15.28515625" style="469" customWidth="1"/>
    <col min="10506" max="10506" width="14.7109375" style="469" customWidth="1"/>
    <col min="10507" max="10507" width="11.85546875" style="469" customWidth="1"/>
    <col min="10508" max="10752" width="9.140625" style="469"/>
    <col min="10753" max="10753" width="4.7109375" style="469" customWidth="1"/>
    <col min="10754" max="10754" width="14.7109375" style="469" customWidth="1"/>
    <col min="10755" max="10755" width="11.7109375" style="469" customWidth="1"/>
    <col min="10756" max="10756" width="12" style="469" customWidth="1"/>
    <col min="10757" max="10757" width="11.85546875" style="469" customWidth="1"/>
    <col min="10758" max="10758" width="18.85546875" style="469" customWidth="1"/>
    <col min="10759" max="10759" width="10.140625" style="469" customWidth="1"/>
    <col min="10760" max="10760" width="14.7109375" style="469" customWidth="1"/>
    <col min="10761" max="10761" width="15.28515625" style="469" customWidth="1"/>
    <col min="10762" max="10762" width="14.7109375" style="469" customWidth="1"/>
    <col min="10763" max="10763" width="11.85546875" style="469" customWidth="1"/>
    <col min="10764" max="11008" width="9.140625" style="469"/>
    <col min="11009" max="11009" width="4.7109375" style="469" customWidth="1"/>
    <col min="11010" max="11010" width="14.7109375" style="469" customWidth="1"/>
    <col min="11011" max="11011" width="11.7109375" style="469" customWidth="1"/>
    <col min="11012" max="11012" width="12" style="469" customWidth="1"/>
    <col min="11013" max="11013" width="11.85546875" style="469" customWidth="1"/>
    <col min="11014" max="11014" width="18.85546875" style="469" customWidth="1"/>
    <col min="11015" max="11015" width="10.140625" style="469" customWidth="1"/>
    <col min="11016" max="11016" width="14.7109375" style="469" customWidth="1"/>
    <col min="11017" max="11017" width="15.28515625" style="469" customWidth="1"/>
    <col min="11018" max="11018" width="14.7109375" style="469" customWidth="1"/>
    <col min="11019" max="11019" width="11.85546875" style="469" customWidth="1"/>
    <col min="11020" max="11264" width="9.140625" style="469"/>
    <col min="11265" max="11265" width="4.7109375" style="469" customWidth="1"/>
    <col min="11266" max="11266" width="14.7109375" style="469" customWidth="1"/>
    <col min="11267" max="11267" width="11.7109375" style="469" customWidth="1"/>
    <col min="11268" max="11268" width="12" style="469" customWidth="1"/>
    <col min="11269" max="11269" width="11.85546875" style="469" customWidth="1"/>
    <col min="11270" max="11270" width="18.85546875" style="469" customWidth="1"/>
    <col min="11271" max="11271" width="10.140625" style="469" customWidth="1"/>
    <col min="11272" max="11272" width="14.7109375" style="469" customWidth="1"/>
    <col min="11273" max="11273" width="15.28515625" style="469" customWidth="1"/>
    <col min="11274" max="11274" width="14.7109375" style="469" customWidth="1"/>
    <col min="11275" max="11275" width="11.85546875" style="469" customWidth="1"/>
    <col min="11276" max="11520" width="9.140625" style="469"/>
    <col min="11521" max="11521" width="4.7109375" style="469" customWidth="1"/>
    <col min="11522" max="11522" width="14.7109375" style="469" customWidth="1"/>
    <col min="11523" max="11523" width="11.7109375" style="469" customWidth="1"/>
    <col min="11524" max="11524" width="12" style="469" customWidth="1"/>
    <col min="11525" max="11525" width="11.85546875" style="469" customWidth="1"/>
    <col min="11526" max="11526" width="18.85546875" style="469" customWidth="1"/>
    <col min="11527" max="11527" width="10.140625" style="469" customWidth="1"/>
    <col min="11528" max="11528" width="14.7109375" style="469" customWidth="1"/>
    <col min="11529" max="11529" width="15.28515625" style="469" customWidth="1"/>
    <col min="11530" max="11530" width="14.7109375" style="469" customWidth="1"/>
    <col min="11531" max="11531" width="11.85546875" style="469" customWidth="1"/>
    <col min="11532" max="11776" width="9.140625" style="469"/>
    <col min="11777" max="11777" width="4.7109375" style="469" customWidth="1"/>
    <col min="11778" max="11778" width="14.7109375" style="469" customWidth="1"/>
    <col min="11779" max="11779" width="11.7109375" style="469" customWidth="1"/>
    <col min="11780" max="11780" width="12" style="469" customWidth="1"/>
    <col min="11781" max="11781" width="11.85546875" style="469" customWidth="1"/>
    <col min="11782" max="11782" width="18.85546875" style="469" customWidth="1"/>
    <col min="11783" max="11783" width="10.140625" style="469" customWidth="1"/>
    <col min="11784" max="11784" width="14.7109375" style="469" customWidth="1"/>
    <col min="11785" max="11785" width="15.28515625" style="469" customWidth="1"/>
    <col min="11786" max="11786" width="14.7109375" style="469" customWidth="1"/>
    <col min="11787" max="11787" width="11.85546875" style="469" customWidth="1"/>
    <col min="11788" max="12032" width="9.140625" style="469"/>
    <col min="12033" max="12033" width="4.7109375" style="469" customWidth="1"/>
    <col min="12034" max="12034" width="14.7109375" style="469" customWidth="1"/>
    <col min="12035" max="12035" width="11.7109375" style="469" customWidth="1"/>
    <col min="12036" max="12036" width="12" style="469" customWidth="1"/>
    <col min="12037" max="12037" width="11.85546875" style="469" customWidth="1"/>
    <col min="12038" max="12038" width="18.85546875" style="469" customWidth="1"/>
    <col min="12039" max="12039" width="10.140625" style="469" customWidth="1"/>
    <col min="12040" max="12040" width="14.7109375" style="469" customWidth="1"/>
    <col min="12041" max="12041" width="15.28515625" style="469" customWidth="1"/>
    <col min="12042" max="12042" width="14.7109375" style="469" customWidth="1"/>
    <col min="12043" max="12043" width="11.85546875" style="469" customWidth="1"/>
    <col min="12044" max="12288" width="9.140625" style="469"/>
    <col min="12289" max="12289" width="4.7109375" style="469" customWidth="1"/>
    <col min="12290" max="12290" width="14.7109375" style="469" customWidth="1"/>
    <col min="12291" max="12291" width="11.7109375" style="469" customWidth="1"/>
    <col min="12292" max="12292" width="12" style="469" customWidth="1"/>
    <col min="12293" max="12293" width="11.85546875" style="469" customWidth="1"/>
    <col min="12294" max="12294" width="18.85546875" style="469" customWidth="1"/>
    <col min="12295" max="12295" width="10.140625" style="469" customWidth="1"/>
    <col min="12296" max="12296" width="14.7109375" style="469" customWidth="1"/>
    <col min="12297" max="12297" width="15.28515625" style="469" customWidth="1"/>
    <col min="12298" max="12298" width="14.7109375" style="469" customWidth="1"/>
    <col min="12299" max="12299" width="11.85546875" style="469" customWidth="1"/>
    <col min="12300" max="12544" width="9.140625" style="469"/>
    <col min="12545" max="12545" width="4.7109375" style="469" customWidth="1"/>
    <col min="12546" max="12546" width="14.7109375" style="469" customWidth="1"/>
    <col min="12547" max="12547" width="11.7109375" style="469" customWidth="1"/>
    <col min="12548" max="12548" width="12" style="469" customWidth="1"/>
    <col min="12549" max="12549" width="11.85546875" style="469" customWidth="1"/>
    <col min="12550" max="12550" width="18.85546875" style="469" customWidth="1"/>
    <col min="12551" max="12551" width="10.140625" style="469" customWidth="1"/>
    <col min="12552" max="12552" width="14.7109375" style="469" customWidth="1"/>
    <col min="12553" max="12553" width="15.28515625" style="469" customWidth="1"/>
    <col min="12554" max="12554" width="14.7109375" style="469" customWidth="1"/>
    <col min="12555" max="12555" width="11.85546875" style="469" customWidth="1"/>
    <col min="12556" max="12800" width="9.140625" style="469"/>
    <col min="12801" max="12801" width="4.7109375" style="469" customWidth="1"/>
    <col min="12802" max="12802" width="14.7109375" style="469" customWidth="1"/>
    <col min="12803" max="12803" width="11.7109375" style="469" customWidth="1"/>
    <col min="12804" max="12804" width="12" style="469" customWidth="1"/>
    <col min="12805" max="12805" width="11.85546875" style="469" customWidth="1"/>
    <col min="12806" max="12806" width="18.85546875" style="469" customWidth="1"/>
    <col min="12807" max="12807" width="10.140625" style="469" customWidth="1"/>
    <col min="12808" max="12808" width="14.7109375" style="469" customWidth="1"/>
    <col min="12809" max="12809" width="15.28515625" style="469" customWidth="1"/>
    <col min="12810" max="12810" width="14.7109375" style="469" customWidth="1"/>
    <col min="12811" max="12811" width="11.85546875" style="469" customWidth="1"/>
    <col min="12812" max="13056" width="9.140625" style="469"/>
    <col min="13057" max="13057" width="4.7109375" style="469" customWidth="1"/>
    <col min="13058" max="13058" width="14.7109375" style="469" customWidth="1"/>
    <col min="13059" max="13059" width="11.7109375" style="469" customWidth="1"/>
    <col min="13060" max="13060" width="12" style="469" customWidth="1"/>
    <col min="13061" max="13061" width="11.85546875" style="469" customWidth="1"/>
    <col min="13062" max="13062" width="18.85546875" style="469" customWidth="1"/>
    <col min="13063" max="13063" width="10.140625" style="469" customWidth="1"/>
    <col min="13064" max="13064" width="14.7109375" style="469" customWidth="1"/>
    <col min="13065" max="13065" width="15.28515625" style="469" customWidth="1"/>
    <col min="13066" max="13066" width="14.7109375" style="469" customWidth="1"/>
    <col min="13067" max="13067" width="11.85546875" style="469" customWidth="1"/>
    <col min="13068" max="13312" width="9.140625" style="469"/>
    <col min="13313" max="13313" width="4.7109375" style="469" customWidth="1"/>
    <col min="13314" max="13314" width="14.7109375" style="469" customWidth="1"/>
    <col min="13315" max="13315" width="11.7109375" style="469" customWidth="1"/>
    <col min="13316" max="13316" width="12" style="469" customWidth="1"/>
    <col min="13317" max="13317" width="11.85546875" style="469" customWidth="1"/>
    <col min="13318" max="13318" width="18.85546875" style="469" customWidth="1"/>
    <col min="13319" max="13319" width="10.140625" style="469" customWidth="1"/>
    <col min="13320" max="13320" width="14.7109375" style="469" customWidth="1"/>
    <col min="13321" max="13321" width="15.28515625" style="469" customWidth="1"/>
    <col min="13322" max="13322" width="14.7109375" style="469" customWidth="1"/>
    <col min="13323" max="13323" width="11.85546875" style="469" customWidth="1"/>
    <col min="13324" max="13568" width="9.140625" style="469"/>
    <col min="13569" max="13569" width="4.7109375" style="469" customWidth="1"/>
    <col min="13570" max="13570" width="14.7109375" style="469" customWidth="1"/>
    <col min="13571" max="13571" width="11.7109375" style="469" customWidth="1"/>
    <col min="13572" max="13572" width="12" style="469" customWidth="1"/>
    <col min="13573" max="13573" width="11.85546875" style="469" customWidth="1"/>
    <col min="13574" max="13574" width="18.85546875" style="469" customWidth="1"/>
    <col min="13575" max="13575" width="10.140625" style="469" customWidth="1"/>
    <col min="13576" max="13576" width="14.7109375" style="469" customWidth="1"/>
    <col min="13577" max="13577" width="15.28515625" style="469" customWidth="1"/>
    <col min="13578" max="13578" width="14.7109375" style="469" customWidth="1"/>
    <col min="13579" max="13579" width="11.85546875" style="469" customWidth="1"/>
    <col min="13580" max="13824" width="9.140625" style="469"/>
    <col min="13825" max="13825" width="4.7109375" style="469" customWidth="1"/>
    <col min="13826" max="13826" width="14.7109375" style="469" customWidth="1"/>
    <col min="13827" max="13827" width="11.7109375" style="469" customWidth="1"/>
    <col min="13828" max="13828" width="12" style="469" customWidth="1"/>
    <col min="13829" max="13829" width="11.85546875" style="469" customWidth="1"/>
    <col min="13830" max="13830" width="18.85546875" style="469" customWidth="1"/>
    <col min="13831" max="13831" width="10.140625" style="469" customWidth="1"/>
    <col min="13832" max="13832" width="14.7109375" style="469" customWidth="1"/>
    <col min="13833" max="13833" width="15.28515625" style="469" customWidth="1"/>
    <col min="13834" max="13834" width="14.7109375" style="469" customWidth="1"/>
    <col min="13835" max="13835" width="11.85546875" style="469" customWidth="1"/>
    <col min="13836" max="14080" width="9.140625" style="469"/>
    <col min="14081" max="14081" width="4.7109375" style="469" customWidth="1"/>
    <col min="14082" max="14082" width="14.7109375" style="469" customWidth="1"/>
    <col min="14083" max="14083" width="11.7109375" style="469" customWidth="1"/>
    <col min="14084" max="14084" width="12" style="469" customWidth="1"/>
    <col min="14085" max="14085" width="11.85546875" style="469" customWidth="1"/>
    <col min="14086" max="14086" width="18.85546875" style="469" customWidth="1"/>
    <col min="14087" max="14087" width="10.140625" style="469" customWidth="1"/>
    <col min="14088" max="14088" width="14.7109375" style="469" customWidth="1"/>
    <col min="14089" max="14089" width="15.28515625" style="469" customWidth="1"/>
    <col min="14090" max="14090" width="14.7109375" style="469" customWidth="1"/>
    <col min="14091" max="14091" width="11.85546875" style="469" customWidth="1"/>
    <col min="14092" max="14336" width="9.140625" style="469"/>
    <col min="14337" max="14337" width="4.7109375" style="469" customWidth="1"/>
    <col min="14338" max="14338" width="14.7109375" style="469" customWidth="1"/>
    <col min="14339" max="14339" width="11.7109375" style="469" customWidth="1"/>
    <col min="14340" max="14340" width="12" style="469" customWidth="1"/>
    <col min="14341" max="14341" width="11.85546875" style="469" customWidth="1"/>
    <col min="14342" max="14342" width="18.85546875" style="469" customWidth="1"/>
    <col min="14343" max="14343" width="10.140625" style="469" customWidth="1"/>
    <col min="14344" max="14344" width="14.7109375" style="469" customWidth="1"/>
    <col min="14345" max="14345" width="15.28515625" style="469" customWidth="1"/>
    <col min="14346" max="14346" width="14.7109375" style="469" customWidth="1"/>
    <col min="14347" max="14347" width="11.85546875" style="469" customWidth="1"/>
    <col min="14348" max="14592" width="9.140625" style="469"/>
    <col min="14593" max="14593" width="4.7109375" style="469" customWidth="1"/>
    <col min="14594" max="14594" width="14.7109375" style="469" customWidth="1"/>
    <col min="14595" max="14595" width="11.7109375" style="469" customWidth="1"/>
    <col min="14596" max="14596" width="12" style="469" customWidth="1"/>
    <col min="14597" max="14597" width="11.85546875" style="469" customWidth="1"/>
    <col min="14598" max="14598" width="18.85546875" style="469" customWidth="1"/>
    <col min="14599" max="14599" width="10.140625" style="469" customWidth="1"/>
    <col min="14600" max="14600" width="14.7109375" style="469" customWidth="1"/>
    <col min="14601" max="14601" width="15.28515625" style="469" customWidth="1"/>
    <col min="14602" max="14602" width="14.7109375" style="469" customWidth="1"/>
    <col min="14603" max="14603" width="11.85546875" style="469" customWidth="1"/>
    <col min="14604" max="14848" width="9.140625" style="469"/>
    <col min="14849" max="14849" width="4.7109375" style="469" customWidth="1"/>
    <col min="14850" max="14850" width="14.7109375" style="469" customWidth="1"/>
    <col min="14851" max="14851" width="11.7109375" style="469" customWidth="1"/>
    <col min="14852" max="14852" width="12" style="469" customWidth="1"/>
    <col min="14853" max="14853" width="11.85546875" style="469" customWidth="1"/>
    <col min="14854" max="14854" width="18.85546875" style="469" customWidth="1"/>
    <col min="14855" max="14855" width="10.140625" style="469" customWidth="1"/>
    <col min="14856" max="14856" width="14.7109375" style="469" customWidth="1"/>
    <col min="14857" max="14857" width="15.28515625" style="469" customWidth="1"/>
    <col min="14858" max="14858" width="14.7109375" style="469" customWidth="1"/>
    <col min="14859" max="14859" width="11.85546875" style="469" customWidth="1"/>
    <col min="14860" max="15104" width="9.140625" style="469"/>
    <col min="15105" max="15105" width="4.7109375" style="469" customWidth="1"/>
    <col min="15106" max="15106" width="14.7109375" style="469" customWidth="1"/>
    <col min="15107" max="15107" width="11.7109375" style="469" customWidth="1"/>
    <col min="15108" max="15108" width="12" style="469" customWidth="1"/>
    <col min="15109" max="15109" width="11.85546875" style="469" customWidth="1"/>
    <col min="15110" max="15110" width="18.85546875" style="469" customWidth="1"/>
    <col min="15111" max="15111" width="10.140625" style="469" customWidth="1"/>
    <col min="15112" max="15112" width="14.7109375" style="469" customWidth="1"/>
    <col min="15113" max="15113" width="15.28515625" style="469" customWidth="1"/>
    <col min="15114" max="15114" width="14.7109375" style="469" customWidth="1"/>
    <col min="15115" max="15115" width="11.85546875" style="469" customWidth="1"/>
    <col min="15116" max="15360" width="9.140625" style="469"/>
    <col min="15361" max="15361" width="4.7109375" style="469" customWidth="1"/>
    <col min="15362" max="15362" width="14.7109375" style="469" customWidth="1"/>
    <col min="15363" max="15363" width="11.7109375" style="469" customWidth="1"/>
    <col min="15364" max="15364" width="12" style="469" customWidth="1"/>
    <col min="15365" max="15365" width="11.85546875" style="469" customWidth="1"/>
    <col min="15366" max="15366" width="18.85546875" style="469" customWidth="1"/>
    <col min="15367" max="15367" width="10.140625" style="469" customWidth="1"/>
    <col min="15368" max="15368" width="14.7109375" style="469" customWidth="1"/>
    <col min="15369" max="15369" width="15.28515625" style="469" customWidth="1"/>
    <col min="15370" max="15370" width="14.7109375" style="469" customWidth="1"/>
    <col min="15371" max="15371" width="11.85546875" style="469" customWidth="1"/>
    <col min="15372" max="15616" width="9.140625" style="469"/>
    <col min="15617" max="15617" width="4.7109375" style="469" customWidth="1"/>
    <col min="15618" max="15618" width="14.7109375" style="469" customWidth="1"/>
    <col min="15619" max="15619" width="11.7109375" style="469" customWidth="1"/>
    <col min="15620" max="15620" width="12" style="469" customWidth="1"/>
    <col min="15621" max="15621" width="11.85546875" style="469" customWidth="1"/>
    <col min="15622" max="15622" width="18.85546875" style="469" customWidth="1"/>
    <col min="15623" max="15623" width="10.140625" style="469" customWidth="1"/>
    <col min="15624" max="15624" width="14.7109375" style="469" customWidth="1"/>
    <col min="15625" max="15625" width="15.28515625" style="469" customWidth="1"/>
    <col min="15626" max="15626" width="14.7109375" style="469" customWidth="1"/>
    <col min="15627" max="15627" width="11.85546875" style="469" customWidth="1"/>
    <col min="15628" max="15872" width="9.140625" style="469"/>
    <col min="15873" max="15873" width="4.7109375" style="469" customWidth="1"/>
    <col min="15874" max="15874" width="14.7109375" style="469" customWidth="1"/>
    <col min="15875" max="15875" width="11.7109375" style="469" customWidth="1"/>
    <col min="15876" max="15876" width="12" style="469" customWidth="1"/>
    <col min="15877" max="15877" width="11.85546875" style="469" customWidth="1"/>
    <col min="15878" max="15878" width="18.85546875" style="469" customWidth="1"/>
    <col min="15879" max="15879" width="10.140625" style="469" customWidth="1"/>
    <col min="15880" max="15880" width="14.7109375" style="469" customWidth="1"/>
    <col min="15881" max="15881" width="15.28515625" style="469" customWidth="1"/>
    <col min="15882" max="15882" width="14.7109375" style="469" customWidth="1"/>
    <col min="15883" max="15883" width="11.85546875" style="469" customWidth="1"/>
    <col min="15884" max="16128" width="9.140625" style="469"/>
    <col min="16129" max="16129" width="4.7109375" style="469" customWidth="1"/>
    <col min="16130" max="16130" width="14.7109375" style="469" customWidth="1"/>
    <col min="16131" max="16131" width="11.7109375" style="469" customWidth="1"/>
    <col min="16132" max="16132" width="12" style="469" customWidth="1"/>
    <col min="16133" max="16133" width="11.85546875" style="469" customWidth="1"/>
    <col min="16134" max="16134" width="18.85546875" style="469" customWidth="1"/>
    <col min="16135" max="16135" width="10.140625" style="469" customWidth="1"/>
    <col min="16136" max="16136" width="14.7109375" style="469" customWidth="1"/>
    <col min="16137" max="16137" width="15.28515625" style="469" customWidth="1"/>
    <col min="16138" max="16138" width="14.7109375" style="469" customWidth="1"/>
    <col min="16139" max="16139" width="11.85546875" style="469" customWidth="1"/>
    <col min="16140" max="16384" width="9.140625" style="469"/>
  </cols>
  <sheetData>
    <row r="1" spans="1:18" ht="15" customHeight="1">
      <c r="C1" s="988"/>
      <c r="D1" s="988"/>
      <c r="E1" s="988"/>
      <c r="F1" s="988"/>
      <c r="G1" s="988"/>
      <c r="H1" s="988"/>
      <c r="I1" s="470"/>
      <c r="J1" s="489" t="s">
        <v>528</v>
      </c>
    </row>
    <row r="2" spans="1:18" s="471" customFormat="1" ht="19.5" customHeight="1">
      <c r="A2" s="991" t="s">
        <v>0</v>
      </c>
      <c r="B2" s="991"/>
      <c r="C2" s="991"/>
      <c r="D2" s="991"/>
      <c r="E2" s="991"/>
      <c r="F2" s="991"/>
      <c r="G2" s="991"/>
      <c r="H2" s="991"/>
      <c r="I2" s="991"/>
      <c r="J2" s="991"/>
    </row>
    <row r="3" spans="1:18" s="471" customFormat="1" ht="19.5" customHeight="1">
      <c r="A3" s="992" t="s">
        <v>737</v>
      </c>
      <c r="B3" s="992"/>
      <c r="C3" s="992"/>
      <c r="D3" s="992"/>
      <c r="E3" s="992"/>
      <c r="F3" s="992"/>
      <c r="G3" s="992"/>
      <c r="H3" s="992"/>
      <c r="I3" s="992"/>
      <c r="J3" s="992"/>
    </row>
    <row r="4" spans="1:18" s="471" customFormat="1" ht="14.25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</row>
    <row r="5" spans="1:18" s="471" customFormat="1" ht="18" customHeight="1">
      <c r="A5" s="993" t="s">
        <v>783</v>
      </c>
      <c r="B5" s="993"/>
      <c r="C5" s="993"/>
      <c r="D5" s="993"/>
      <c r="E5" s="993"/>
      <c r="F5" s="993"/>
      <c r="G5" s="993"/>
      <c r="H5" s="993"/>
      <c r="I5" s="993"/>
      <c r="J5" s="993"/>
    </row>
    <row r="6" spans="1:18" ht="15.75">
      <c r="A6" s="990" t="s">
        <v>723</v>
      </c>
      <c r="B6" s="990"/>
      <c r="C6" s="490"/>
      <c r="D6" s="490"/>
      <c r="E6" s="490"/>
      <c r="F6" s="490"/>
      <c r="G6" s="490"/>
      <c r="H6" s="490"/>
      <c r="I6" s="491"/>
      <c r="J6" s="491"/>
    </row>
    <row r="7" spans="1:18" ht="29.25" customHeight="1">
      <c r="A7" s="984" t="s">
        <v>70</v>
      </c>
      <c r="B7" s="984" t="s">
        <v>71</v>
      </c>
      <c r="C7" s="984" t="s">
        <v>72</v>
      </c>
      <c r="D7" s="984" t="s">
        <v>154</v>
      </c>
      <c r="E7" s="984"/>
      <c r="F7" s="984"/>
      <c r="G7" s="984"/>
      <c r="H7" s="984"/>
      <c r="I7" s="985" t="s">
        <v>236</v>
      </c>
      <c r="J7" s="984" t="s">
        <v>73</v>
      </c>
      <c r="K7" s="984" t="s">
        <v>223</v>
      </c>
    </row>
    <row r="8" spans="1:18" ht="34.15" customHeight="1">
      <c r="A8" s="984"/>
      <c r="B8" s="984"/>
      <c r="C8" s="984"/>
      <c r="D8" s="984" t="s">
        <v>75</v>
      </c>
      <c r="E8" s="984" t="s">
        <v>76</v>
      </c>
      <c r="F8" s="984"/>
      <c r="G8" s="984"/>
      <c r="H8" s="985" t="s">
        <v>77</v>
      </c>
      <c r="I8" s="986"/>
      <c r="J8" s="984"/>
      <c r="K8" s="984"/>
      <c r="Q8" s="474"/>
      <c r="R8" s="474"/>
    </row>
    <row r="9" spans="1:18" ht="33.75" customHeight="1">
      <c r="A9" s="984"/>
      <c r="B9" s="984"/>
      <c r="C9" s="984"/>
      <c r="D9" s="984"/>
      <c r="E9" s="475" t="s">
        <v>78</v>
      </c>
      <c r="F9" s="475" t="s">
        <v>79</v>
      </c>
      <c r="G9" s="475" t="s">
        <v>16</v>
      </c>
      <c r="H9" s="987"/>
      <c r="I9" s="987"/>
      <c r="J9" s="984"/>
      <c r="K9" s="984"/>
    </row>
    <row r="10" spans="1:18" s="481" customFormat="1" ht="17.100000000000001" customHeight="1">
      <c r="A10" s="475">
        <v>1</v>
      </c>
      <c r="B10" s="475">
        <v>2</v>
      </c>
      <c r="C10" s="475">
        <v>3</v>
      </c>
      <c r="D10" s="475">
        <v>4</v>
      </c>
      <c r="E10" s="475">
        <v>5</v>
      </c>
      <c r="F10" s="475">
        <v>6</v>
      </c>
      <c r="G10" s="475">
        <v>7</v>
      </c>
      <c r="H10" s="475">
        <v>8</v>
      </c>
      <c r="I10" s="475">
        <v>9</v>
      </c>
      <c r="J10" s="475">
        <v>10</v>
      </c>
      <c r="K10" s="475">
        <v>11</v>
      </c>
    </row>
    <row r="11" spans="1:18" ht="17.100000000000001" customHeight="1">
      <c r="A11" s="478">
        <v>1</v>
      </c>
      <c r="B11" s="533" t="s">
        <v>785</v>
      </c>
      <c r="C11" s="534">
        <v>30</v>
      </c>
      <c r="D11" s="480">
        <v>18</v>
      </c>
      <c r="E11" s="480">
        <v>1</v>
      </c>
      <c r="F11" s="480">
        <v>2</v>
      </c>
      <c r="G11" s="480">
        <f>SUM(E11:F11)</f>
        <v>3</v>
      </c>
      <c r="H11" s="480">
        <f>G11+D11</f>
        <v>21</v>
      </c>
      <c r="I11" s="480">
        <v>30</v>
      </c>
      <c r="J11" s="492">
        <v>0</v>
      </c>
      <c r="K11" s="480"/>
    </row>
    <row r="12" spans="1:18" ht="17.100000000000001" customHeight="1">
      <c r="A12" s="478">
        <v>2</v>
      </c>
      <c r="B12" s="533" t="s">
        <v>786</v>
      </c>
      <c r="C12" s="534">
        <v>31</v>
      </c>
      <c r="D12" s="480">
        <v>31</v>
      </c>
      <c r="E12" s="480">
        <v>0</v>
      </c>
      <c r="F12" s="480">
        <v>0</v>
      </c>
      <c r="G12" s="480">
        <f t="shared" ref="G12:G22" si="0">SUM(E12:F12)</f>
        <v>0</v>
      </c>
      <c r="H12" s="480">
        <f t="shared" ref="H12:H22" si="1">G12+D12</f>
        <v>31</v>
      </c>
      <c r="I12" s="480">
        <v>31</v>
      </c>
      <c r="J12" s="492">
        <f t="shared" ref="J12:J22" si="2">C12-H12</f>
        <v>0</v>
      </c>
      <c r="K12" s="480"/>
    </row>
    <row r="13" spans="1:18" ht="17.100000000000001" customHeight="1">
      <c r="A13" s="478">
        <v>3</v>
      </c>
      <c r="B13" s="533" t="s">
        <v>787</v>
      </c>
      <c r="C13" s="534">
        <v>30</v>
      </c>
      <c r="D13" s="480">
        <v>0</v>
      </c>
      <c r="E13" s="480">
        <v>5</v>
      </c>
      <c r="F13" s="480">
        <v>3</v>
      </c>
      <c r="G13" s="480">
        <f t="shared" si="0"/>
        <v>8</v>
      </c>
      <c r="H13" s="480">
        <f t="shared" si="1"/>
        <v>8</v>
      </c>
      <c r="I13" s="480">
        <v>30</v>
      </c>
      <c r="J13" s="492">
        <f t="shared" si="2"/>
        <v>22</v>
      </c>
      <c r="K13" s="480"/>
    </row>
    <row r="14" spans="1:18" ht="17.100000000000001" customHeight="1">
      <c r="A14" s="478">
        <v>4</v>
      </c>
      <c r="B14" s="533" t="s">
        <v>788</v>
      </c>
      <c r="C14" s="534">
        <v>31</v>
      </c>
      <c r="D14" s="480">
        <v>0</v>
      </c>
      <c r="E14" s="480">
        <v>4</v>
      </c>
      <c r="F14" s="480">
        <v>2</v>
      </c>
      <c r="G14" s="480">
        <f t="shared" si="0"/>
        <v>6</v>
      </c>
      <c r="H14" s="480">
        <f t="shared" si="1"/>
        <v>6</v>
      </c>
      <c r="I14" s="480">
        <v>31</v>
      </c>
      <c r="J14" s="492">
        <f t="shared" si="2"/>
        <v>25</v>
      </c>
      <c r="K14" s="480"/>
    </row>
    <row r="15" spans="1:18" ht="17.100000000000001" customHeight="1">
      <c r="A15" s="478">
        <v>5</v>
      </c>
      <c r="B15" s="533" t="s">
        <v>789</v>
      </c>
      <c r="C15" s="534">
        <v>31</v>
      </c>
      <c r="D15" s="480">
        <v>0</v>
      </c>
      <c r="E15" s="480">
        <v>4</v>
      </c>
      <c r="F15" s="480">
        <v>4</v>
      </c>
      <c r="G15" s="480">
        <f t="shared" si="0"/>
        <v>8</v>
      </c>
      <c r="H15" s="480">
        <f t="shared" si="1"/>
        <v>8</v>
      </c>
      <c r="I15" s="480">
        <v>31</v>
      </c>
      <c r="J15" s="492">
        <f t="shared" si="2"/>
        <v>23</v>
      </c>
      <c r="K15" s="480"/>
    </row>
    <row r="16" spans="1:18" s="481" customFormat="1" ht="17.100000000000001" customHeight="1">
      <c r="A16" s="478">
        <v>6</v>
      </c>
      <c r="B16" s="533" t="s">
        <v>790</v>
      </c>
      <c r="C16" s="535">
        <v>30</v>
      </c>
      <c r="D16" s="479">
        <v>4</v>
      </c>
      <c r="E16" s="479">
        <v>4</v>
      </c>
      <c r="F16" s="479">
        <v>4</v>
      </c>
      <c r="G16" s="480">
        <f t="shared" si="0"/>
        <v>8</v>
      </c>
      <c r="H16" s="480">
        <f t="shared" si="1"/>
        <v>12</v>
      </c>
      <c r="I16" s="479">
        <v>30</v>
      </c>
      <c r="J16" s="492">
        <f t="shared" si="2"/>
        <v>18</v>
      </c>
      <c r="K16" s="479"/>
    </row>
    <row r="17" spans="1:11" s="481" customFormat="1" ht="17.100000000000001" customHeight="1">
      <c r="A17" s="478">
        <v>7</v>
      </c>
      <c r="B17" s="533" t="s">
        <v>791</v>
      </c>
      <c r="C17" s="535">
        <v>31</v>
      </c>
      <c r="D17" s="479">
        <v>10</v>
      </c>
      <c r="E17" s="479">
        <v>3</v>
      </c>
      <c r="F17" s="479">
        <v>1</v>
      </c>
      <c r="G17" s="480">
        <f t="shared" si="0"/>
        <v>4</v>
      </c>
      <c r="H17" s="480">
        <v>17</v>
      </c>
      <c r="I17" s="479">
        <v>31</v>
      </c>
      <c r="J17" s="492">
        <f t="shared" si="2"/>
        <v>14</v>
      </c>
      <c r="K17" s="479"/>
    </row>
    <row r="18" spans="1:11" s="481" customFormat="1" ht="17.100000000000001" customHeight="1">
      <c r="A18" s="478">
        <v>8</v>
      </c>
      <c r="B18" s="533" t="s">
        <v>792</v>
      </c>
      <c r="C18" s="535">
        <v>30</v>
      </c>
      <c r="D18" s="479">
        <v>0</v>
      </c>
      <c r="E18" s="479">
        <v>4</v>
      </c>
      <c r="F18" s="479">
        <v>2</v>
      </c>
      <c r="G18" s="480">
        <f t="shared" si="0"/>
        <v>6</v>
      </c>
      <c r="H18" s="480">
        <f t="shared" si="1"/>
        <v>6</v>
      </c>
      <c r="I18" s="479">
        <v>30</v>
      </c>
      <c r="J18" s="492">
        <f t="shared" si="2"/>
        <v>24</v>
      </c>
      <c r="K18" s="479"/>
    </row>
    <row r="19" spans="1:11" s="481" customFormat="1" ht="17.100000000000001" customHeight="1">
      <c r="A19" s="478">
        <v>9</v>
      </c>
      <c r="B19" s="533" t="s">
        <v>793</v>
      </c>
      <c r="C19" s="535">
        <v>31</v>
      </c>
      <c r="D19" s="479">
        <v>0</v>
      </c>
      <c r="E19" s="479">
        <v>5</v>
      </c>
      <c r="F19" s="479">
        <v>3</v>
      </c>
      <c r="G19" s="480">
        <f t="shared" si="0"/>
        <v>8</v>
      </c>
      <c r="H19" s="480">
        <f t="shared" si="1"/>
        <v>8</v>
      </c>
      <c r="I19" s="479">
        <v>31</v>
      </c>
      <c r="J19" s="492">
        <f t="shared" si="2"/>
        <v>23</v>
      </c>
      <c r="K19" s="479"/>
    </row>
    <row r="20" spans="1:11" s="481" customFormat="1" ht="17.100000000000001" customHeight="1">
      <c r="A20" s="478">
        <v>10</v>
      </c>
      <c r="B20" s="533" t="s">
        <v>794</v>
      </c>
      <c r="C20" s="535">
        <v>31</v>
      </c>
      <c r="D20" s="479">
        <v>6</v>
      </c>
      <c r="E20" s="479">
        <v>3</v>
      </c>
      <c r="F20" s="479">
        <v>0</v>
      </c>
      <c r="G20" s="480">
        <f t="shared" si="0"/>
        <v>3</v>
      </c>
      <c r="H20" s="480">
        <f t="shared" si="1"/>
        <v>9</v>
      </c>
      <c r="I20" s="479">
        <v>31</v>
      </c>
      <c r="J20" s="492">
        <f t="shared" si="2"/>
        <v>22</v>
      </c>
      <c r="K20" s="479"/>
    </row>
    <row r="21" spans="1:11" s="481" customFormat="1" ht="17.100000000000001" customHeight="1">
      <c r="A21" s="478">
        <v>11</v>
      </c>
      <c r="B21" s="533" t="s">
        <v>795</v>
      </c>
      <c r="C21" s="535">
        <v>28</v>
      </c>
      <c r="D21" s="482">
        <v>0</v>
      </c>
      <c r="E21" s="482">
        <v>4</v>
      </c>
      <c r="F21" s="482">
        <v>2</v>
      </c>
      <c r="G21" s="480">
        <f t="shared" si="0"/>
        <v>6</v>
      </c>
      <c r="H21" s="480">
        <f t="shared" si="1"/>
        <v>6</v>
      </c>
      <c r="I21" s="479">
        <v>28</v>
      </c>
      <c r="J21" s="492">
        <f t="shared" si="2"/>
        <v>22</v>
      </c>
      <c r="K21" s="479"/>
    </row>
    <row r="22" spans="1:11" s="481" customFormat="1" ht="17.100000000000001" customHeight="1">
      <c r="A22" s="478">
        <v>12</v>
      </c>
      <c r="B22" s="533" t="s">
        <v>796</v>
      </c>
      <c r="C22" s="535">
        <v>31</v>
      </c>
      <c r="D22" s="482">
        <v>0</v>
      </c>
      <c r="E22" s="482">
        <v>5</v>
      </c>
      <c r="F22" s="482">
        <v>3</v>
      </c>
      <c r="G22" s="480">
        <f t="shared" si="0"/>
        <v>8</v>
      </c>
      <c r="H22" s="480">
        <f t="shared" si="1"/>
        <v>8</v>
      </c>
      <c r="I22" s="479">
        <v>31</v>
      </c>
      <c r="J22" s="492">
        <f t="shared" si="2"/>
        <v>23</v>
      </c>
      <c r="K22" s="479"/>
    </row>
    <row r="23" spans="1:11" s="481" customFormat="1" ht="17.100000000000001" customHeight="1">
      <c r="A23" s="479"/>
      <c r="B23" s="483" t="s">
        <v>16</v>
      </c>
      <c r="C23" s="475">
        <v>365</v>
      </c>
      <c r="D23" s="482">
        <f t="shared" ref="D23:J23" si="3">SUM(D11:D22)</f>
        <v>69</v>
      </c>
      <c r="E23" s="482">
        <f t="shared" si="3"/>
        <v>42</v>
      </c>
      <c r="F23" s="482">
        <f t="shared" si="3"/>
        <v>26</v>
      </c>
      <c r="G23" s="482">
        <f t="shared" si="3"/>
        <v>68</v>
      </c>
      <c r="H23" s="482">
        <f t="shared" si="3"/>
        <v>140</v>
      </c>
      <c r="I23" s="482">
        <f t="shared" si="3"/>
        <v>365</v>
      </c>
      <c r="J23" s="482">
        <f t="shared" si="3"/>
        <v>216</v>
      </c>
      <c r="K23" s="482"/>
    </row>
    <row r="24" spans="1:11" s="481" customFormat="1" ht="11.25" customHeight="1">
      <c r="A24" s="485"/>
      <c r="B24" s="486"/>
      <c r="C24" s="487"/>
      <c r="D24" s="485"/>
      <c r="E24" s="485"/>
      <c r="F24" s="485"/>
      <c r="G24" s="485"/>
      <c r="H24" s="485"/>
      <c r="I24" s="485"/>
      <c r="J24" s="485"/>
      <c r="K24" s="485"/>
    </row>
    <row r="25" spans="1:11" ht="15">
      <c r="A25" s="488" t="s">
        <v>101</v>
      </c>
      <c r="B25" s="488"/>
      <c r="C25" s="488"/>
      <c r="D25" s="488"/>
      <c r="E25" s="488"/>
      <c r="F25" s="488"/>
      <c r="G25" s="488"/>
      <c r="H25" s="488"/>
      <c r="I25" s="488"/>
      <c r="J25" s="488"/>
    </row>
    <row r="26" spans="1:11" ht="15">
      <c r="A26" s="488"/>
      <c r="B26" s="488"/>
      <c r="C26" s="488"/>
      <c r="D26" s="488"/>
      <c r="E26" s="488"/>
      <c r="F26" s="488"/>
      <c r="G26" s="488"/>
      <c r="H26" s="488"/>
      <c r="I26" s="488"/>
      <c r="J26" s="488"/>
    </row>
    <row r="27" spans="1:11" ht="15">
      <c r="A27" s="488" t="s">
        <v>12</v>
      </c>
      <c r="B27" s="488"/>
      <c r="C27" s="488"/>
      <c r="D27" s="488"/>
      <c r="E27" s="488"/>
      <c r="F27" s="488"/>
      <c r="G27" s="488"/>
      <c r="H27" s="488"/>
      <c r="I27" s="488"/>
      <c r="J27" s="994"/>
      <c r="K27" s="994"/>
    </row>
    <row r="28" spans="1:11" ht="15">
      <c r="A28" s="488"/>
      <c r="B28" s="488"/>
      <c r="C28" s="488"/>
      <c r="D28" s="488"/>
      <c r="E28" s="488"/>
      <c r="F28" s="488"/>
      <c r="G28" s="488"/>
      <c r="H28" s="488"/>
      <c r="I28" s="488"/>
      <c r="J28" s="488"/>
      <c r="K28" s="488"/>
    </row>
    <row r="31" spans="1:11" ht="14.25" customHeight="1">
      <c r="H31" s="995" t="s">
        <v>908</v>
      </c>
      <c r="I31" s="995"/>
      <c r="J31" s="995"/>
      <c r="K31" s="995"/>
    </row>
    <row r="32" spans="1:11" ht="24.75" customHeight="1">
      <c r="H32" s="762" t="s">
        <v>712</v>
      </c>
      <c r="I32" s="762"/>
      <c r="J32" s="762"/>
      <c r="K32" s="762"/>
    </row>
    <row r="33" spans="9:11" ht="14.25" customHeight="1">
      <c r="I33" s="493"/>
      <c r="J33" s="493"/>
      <c r="K33" s="493"/>
    </row>
    <row r="34" spans="9:11" ht="14.25" customHeight="1">
      <c r="I34" s="493"/>
      <c r="J34" s="493"/>
      <c r="K34" s="493"/>
    </row>
  </sheetData>
  <mergeCells count="18">
    <mergeCell ref="J27:K27"/>
    <mergeCell ref="H32:K32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H31:K31"/>
    <mergeCell ref="C1:H1"/>
    <mergeCell ref="A2:J2"/>
    <mergeCell ref="A3:J3"/>
    <mergeCell ref="A5:J5"/>
    <mergeCell ref="A6:B6"/>
  </mergeCells>
  <phoneticPr fontId="0" type="noConversion"/>
  <printOptions horizontalCentered="1"/>
  <pageMargins left="0.44" right="0.4" top="0.51" bottom="0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topLeftCell="C7" zoomScale="55" zoomScaleNormal="70" zoomScaleSheetLayoutView="55" workbookViewId="0">
      <selection activeCell="T11" sqref="T11"/>
    </sheetView>
  </sheetViews>
  <sheetFormatPr defaultColWidth="9.140625" defaultRowHeight="12.75"/>
  <cols>
    <col min="1" max="1" width="5.5703125" style="288" customWidth="1"/>
    <col min="2" max="2" width="17.42578125" style="288" customWidth="1"/>
    <col min="3" max="3" width="10.28515625" style="288" customWidth="1"/>
    <col min="4" max="4" width="8.42578125" style="288" customWidth="1"/>
    <col min="5" max="6" width="9.85546875" style="288" customWidth="1"/>
    <col min="7" max="7" width="10.85546875" style="288" customWidth="1"/>
    <col min="8" max="8" width="12.85546875" style="288" customWidth="1"/>
    <col min="9" max="9" width="11" style="288" customWidth="1"/>
    <col min="10" max="10" width="11.85546875" style="288" bestFit="1" customWidth="1"/>
    <col min="11" max="11" width="8" style="288" customWidth="1"/>
    <col min="12" max="14" width="8.140625" style="288" customWidth="1"/>
    <col min="15" max="15" width="8.42578125" style="288" customWidth="1"/>
    <col min="16" max="16" width="8.140625" style="288" customWidth="1"/>
    <col min="17" max="17" width="8.85546875" style="288" customWidth="1"/>
    <col min="18" max="18" width="8.140625" style="288" customWidth="1"/>
    <col min="19" max="19" width="10.85546875" style="288" bestFit="1" customWidth="1"/>
    <col min="20" max="20" width="9.28515625" style="288" bestFit="1" customWidth="1"/>
    <col min="21" max="16384" width="9.140625" style="288"/>
  </cols>
  <sheetData>
    <row r="1" spans="1:20" ht="12.75" customHeight="1">
      <c r="A1" s="128"/>
      <c r="B1" s="128"/>
      <c r="C1" s="128"/>
      <c r="D1" s="128"/>
      <c r="E1" s="128"/>
      <c r="F1" s="128"/>
      <c r="G1" s="999"/>
      <c r="H1" s="999"/>
      <c r="I1" s="999"/>
      <c r="J1" s="128"/>
      <c r="K1" s="128"/>
      <c r="L1" s="128"/>
      <c r="M1" s="128"/>
      <c r="N1" s="128"/>
      <c r="O1" s="128"/>
      <c r="P1" s="128"/>
      <c r="S1" s="1001" t="s">
        <v>529</v>
      </c>
      <c r="T1" s="1001"/>
    </row>
    <row r="2" spans="1:20" ht="15.7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</row>
    <row r="3" spans="1:20" ht="18">
      <c r="A3" s="1012" t="s">
        <v>737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</row>
    <row r="4" spans="1:20" ht="12.75" customHeight="1">
      <c r="A4" s="997" t="s">
        <v>797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</row>
    <row r="5" spans="1:20" s="359" customFormat="1" ht="7.5" customHeight="1">
      <c r="A5" s="997"/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</row>
    <row r="6" spans="1:20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</row>
    <row r="7" spans="1:20">
      <c r="A7" s="1007" t="s">
        <v>665</v>
      </c>
      <c r="B7" s="1007"/>
      <c r="C7" s="128"/>
      <c r="D7" s="128"/>
      <c r="E7" s="128"/>
      <c r="F7" s="128"/>
      <c r="G7" s="128"/>
      <c r="H7" s="187"/>
      <c r="I7" s="128"/>
      <c r="J7" s="128"/>
      <c r="K7" s="128"/>
      <c r="L7" s="1003"/>
      <c r="M7" s="1003"/>
      <c r="N7" s="1003"/>
      <c r="O7" s="1003"/>
      <c r="P7" s="1003"/>
      <c r="Q7" s="1003"/>
      <c r="R7" s="1003"/>
    </row>
    <row r="8" spans="1:20" ht="24.75" customHeight="1">
      <c r="A8" s="923" t="s">
        <v>2</v>
      </c>
      <c r="B8" s="923" t="s">
        <v>3</v>
      </c>
      <c r="C8" s="1004" t="s">
        <v>482</v>
      </c>
      <c r="D8" s="1005"/>
      <c r="E8" s="1005"/>
      <c r="F8" s="1005"/>
      <c r="G8" s="1006"/>
      <c r="H8" s="1008" t="s">
        <v>80</v>
      </c>
      <c r="I8" s="1004" t="s">
        <v>81</v>
      </c>
      <c r="J8" s="1005"/>
      <c r="K8" s="1005"/>
      <c r="L8" s="1006"/>
      <c r="M8" s="923" t="s">
        <v>560</v>
      </c>
      <c r="N8" s="923"/>
      <c r="O8" s="923"/>
      <c r="P8" s="923"/>
      <c r="Q8" s="923"/>
      <c r="R8" s="923"/>
      <c r="S8" s="1010" t="s">
        <v>724</v>
      </c>
      <c r="T8" s="1010"/>
    </row>
    <row r="9" spans="1:20" ht="44.45" customHeight="1">
      <c r="A9" s="923"/>
      <c r="B9" s="923"/>
      <c r="C9" s="183" t="s">
        <v>5</v>
      </c>
      <c r="D9" s="183" t="s">
        <v>6</v>
      </c>
      <c r="E9" s="183" t="s">
        <v>347</v>
      </c>
      <c r="F9" s="188" t="s">
        <v>95</v>
      </c>
      <c r="G9" s="188" t="s">
        <v>224</v>
      </c>
      <c r="H9" s="1009"/>
      <c r="I9" s="183" t="s">
        <v>176</v>
      </c>
      <c r="J9" s="183" t="s">
        <v>110</v>
      </c>
      <c r="K9" s="183" t="s">
        <v>111</v>
      </c>
      <c r="L9" s="183" t="s">
        <v>430</v>
      </c>
      <c r="M9" s="183" t="s">
        <v>16</v>
      </c>
      <c r="N9" s="280" t="s">
        <v>653</v>
      </c>
      <c r="O9" s="280" t="s">
        <v>654</v>
      </c>
      <c r="P9" s="183" t="s">
        <v>563</v>
      </c>
      <c r="Q9" s="183" t="s">
        <v>564</v>
      </c>
      <c r="R9" s="183" t="s">
        <v>565</v>
      </c>
      <c r="S9" s="452" t="s">
        <v>725</v>
      </c>
      <c r="T9" s="452" t="s">
        <v>726</v>
      </c>
    </row>
    <row r="10" spans="1:20" s="360" customFormat="1">
      <c r="A10" s="183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3">
        <v>11</v>
      </c>
      <c r="L10" s="183">
        <v>12</v>
      </c>
      <c r="M10" s="183">
        <v>13</v>
      </c>
      <c r="N10" s="183">
        <v>14</v>
      </c>
      <c r="O10" s="183">
        <v>15</v>
      </c>
      <c r="P10" s="183">
        <v>16</v>
      </c>
      <c r="Q10" s="183">
        <v>17</v>
      </c>
      <c r="R10" s="183">
        <v>18</v>
      </c>
      <c r="S10" s="494">
        <v>19</v>
      </c>
      <c r="T10" s="494">
        <v>20</v>
      </c>
    </row>
    <row r="11" spans="1:20" s="360" customFormat="1">
      <c r="A11" s="204">
        <v>1</v>
      </c>
      <c r="B11" s="204" t="s">
        <v>624</v>
      </c>
      <c r="C11" s="326">
        <f>VLOOKUP(B11,'[1]I to V-Dist'!$A$3:$C$36,3,0)</f>
        <v>38433</v>
      </c>
      <c r="D11" s="326">
        <f>VLOOKUP(B11,'[1]I to V-Dist'!$A$3:$B$36,2,0)</f>
        <v>308</v>
      </c>
      <c r="E11" s="326">
        <v>0</v>
      </c>
      <c r="F11" s="326">
        <f>VLOOKUP(B11,'[1]I to V-Dist'!$A$3:$D$36,4,0)</f>
        <v>696</v>
      </c>
      <c r="G11" s="325">
        <f>SUM(C11:F11)</f>
        <v>39437</v>
      </c>
      <c r="H11" s="327">
        <v>216</v>
      </c>
      <c r="I11" s="328">
        <f>SUM(J11:L11)</f>
        <v>851.83920000000001</v>
      </c>
      <c r="J11" s="328">
        <f>G11*H11*0.0001</f>
        <v>851.83920000000001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417">
        <v>111.3</v>
      </c>
      <c r="T11" s="498">
        <f>I11*1113/100000</f>
        <v>9.4809702960000006</v>
      </c>
    </row>
    <row r="12" spans="1:20" s="360" customFormat="1">
      <c r="A12" s="204">
        <f>A11+1</f>
        <v>2</v>
      </c>
      <c r="B12" s="204" t="s">
        <v>589</v>
      </c>
      <c r="C12" s="326">
        <f>VLOOKUP(B12,'[1]I to V-Dist'!$A$3:$C$36,3,0)</f>
        <v>38093</v>
      </c>
      <c r="D12" s="326">
        <f>VLOOKUP(B12,'[1]I to V-Dist'!$A$3:$B$36,2,0)</f>
        <v>3055</v>
      </c>
      <c r="E12" s="326">
        <v>0</v>
      </c>
      <c r="F12" s="326">
        <f>VLOOKUP(B12,'[1]I to V-Dist'!$A$3:$D$36,4,0)</f>
        <v>0</v>
      </c>
      <c r="G12" s="325">
        <f t="shared" ref="G12:G43" si="0">SUM(C12:F12)</f>
        <v>41148</v>
      </c>
      <c r="H12" s="327">
        <v>216</v>
      </c>
      <c r="I12" s="328">
        <f t="shared" ref="I12:I43" si="1">SUM(J12:L12)</f>
        <v>888.79680000000008</v>
      </c>
      <c r="J12" s="328">
        <f t="shared" ref="J12:J43" si="2">G12*H12*0.0001</f>
        <v>888.79680000000008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417">
        <v>111.3</v>
      </c>
      <c r="T12" s="498">
        <f t="shared" ref="T12:T43" si="3">I12*1113/100000</f>
        <v>9.8923083840000015</v>
      </c>
    </row>
    <row r="13" spans="1:20" s="360" customFormat="1">
      <c r="A13" s="204">
        <f t="shared" ref="A13:A43" si="4">A12+1</f>
        <v>3</v>
      </c>
      <c r="B13" s="204" t="s">
        <v>625</v>
      </c>
      <c r="C13" s="326">
        <f>VLOOKUP(B13,'[1]I to V-Dist'!$A$3:$C$36,3,0)</f>
        <v>66344</v>
      </c>
      <c r="D13" s="326">
        <f>VLOOKUP(B13,'[1]I to V-Dist'!$A$3:$B$36,2,0)</f>
        <v>20056</v>
      </c>
      <c r="E13" s="326">
        <v>0</v>
      </c>
      <c r="F13" s="326">
        <f>VLOOKUP(B13,'[1]I to V-Dist'!$A$3:$D$36,4,0)</f>
        <v>519</v>
      </c>
      <c r="G13" s="325">
        <f t="shared" si="0"/>
        <v>86919</v>
      </c>
      <c r="H13" s="327">
        <v>216</v>
      </c>
      <c r="I13" s="328">
        <f t="shared" si="1"/>
        <v>1877.4504000000002</v>
      </c>
      <c r="J13" s="328">
        <f t="shared" si="2"/>
        <v>1877.4504000000002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417">
        <v>111.3</v>
      </c>
      <c r="T13" s="498">
        <f t="shared" si="3"/>
        <v>20.896022952000003</v>
      </c>
    </row>
    <row r="14" spans="1:20" s="360" customFormat="1">
      <c r="A14" s="204">
        <f t="shared" si="4"/>
        <v>4</v>
      </c>
      <c r="B14" s="204" t="s">
        <v>590</v>
      </c>
      <c r="C14" s="326">
        <f>VLOOKUP(B14,'[1]I to V-Dist'!$A$3:$C$36,3,0)</f>
        <v>26883</v>
      </c>
      <c r="D14" s="326">
        <f>VLOOKUP(B14,'[1]I to V-Dist'!$A$3:$B$36,2,0)</f>
        <v>67</v>
      </c>
      <c r="E14" s="326">
        <v>0</v>
      </c>
      <c r="F14" s="326">
        <f>VLOOKUP(B14,'[1]I to V-Dist'!$A$3:$D$36,4,0)</f>
        <v>224</v>
      </c>
      <c r="G14" s="325">
        <f t="shared" si="0"/>
        <v>27174</v>
      </c>
      <c r="H14" s="327">
        <v>216</v>
      </c>
      <c r="I14" s="328">
        <f t="shared" si="1"/>
        <v>586.95839999999998</v>
      </c>
      <c r="J14" s="328">
        <f t="shared" si="2"/>
        <v>586.95839999999998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417">
        <v>111.3</v>
      </c>
      <c r="T14" s="498">
        <f t="shared" si="3"/>
        <v>6.5328469920000005</v>
      </c>
    </row>
    <row r="15" spans="1:20" s="360" customFormat="1">
      <c r="A15" s="204">
        <f t="shared" si="4"/>
        <v>5</v>
      </c>
      <c r="B15" s="204" t="s">
        <v>591</v>
      </c>
      <c r="C15" s="326">
        <f>VLOOKUP(B15,'[1]I to V-Dist'!$A$3:$C$36,3,0)</f>
        <v>15948</v>
      </c>
      <c r="D15" s="326">
        <f>VLOOKUP(B15,'[1]I to V-Dist'!$A$3:$B$36,2,0)</f>
        <v>247</v>
      </c>
      <c r="E15" s="326">
        <v>0</v>
      </c>
      <c r="F15" s="326">
        <f>VLOOKUP(B15,'[1]I to V-Dist'!$A$3:$D$36,4,0)</f>
        <v>0</v>
      </c>
      <c r="G15" s="325">
        <f t="shared" si="0"/>
        <v>16195</v>
      </c>
      <c r="H15" s="327">
        <v>216</v>
      </c>
      <c r="I15" s="328">
        <f t="shared" si="1"/>
        <v>349.81200000000001</v>
      </c>
      <c r="J15" s="328">
        <f t="shared" si="2"/>
        <v>349.81200000000001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417">
        <v>111.3</v>
      </c>
      <c r="T15" s="498">
        <f t="shared" si="3"/>
        <v>3.89340756</v>
      </c>
    </row>
    <row r="16" spans="1:20" s="360" customFormat="1">
      <c r="A16" s="204">
        <f t="shared" si="4"/>
        <v>6</v>
      </c>
      <c r="B16" s="204" t="s">
        <v>592</v>
      </c>
      <c r="C16" s="326">
        <f>VLOOKUP(B16,'[1]I to V-Dist'!$A$3:$C$36,3,0)</f>
        <v>11699</v>
      </c>
      <c r="D16" s="326">
        <f>VLOOKUP(B16,'[1]I to V-Dist'!$A$3:$B$36,2,0)</f>
        <v>0</v>
      </c>
      <c r="E16" s="326">
        <v>0</v>
      </c>
      <c r="F16" s="326">
        <f>VLOOKUP(B16,'[1]I to V-Dist'!$A$3:$D$36,4,0)</f>
        <v>32</v>
      </c>
      <c r="G16" s="325">
        <f t="shared" si="0"/>
        <v>11731</v>
      </c>
      <c r="H16" s="327">
        <v>216</v>
      </c>
      <c r="I16" s="328">
        <f t="shared" si="1"/>
        <v>253.3896</v>
      </c>
      <c r="J16" s="328">
        <f t="shared" si="2"/>
        <v>253.3896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417">
        <v>111.3</v>
      </c>
      <c r="T16" s="498">
        <f t="shared" si="3"/>
        <v>2.820226248</v>
      </c>
    </row>
    <row r="17" spans="1:20" s="360" customFormat="1">
      <c r="A17" s="204">
        <f t="shared" si="4"/>
        <v>7</v>
      </c>
      <c r="B17" s="204" t="s">
        <v>593</v>
      </c>
      <c r="C17" s="326">
        <f>VLOOKUP(B17,'[1]I to V-Dist'!$A$3:$C$36,3,0)</f>
        <v>34940</v>
      </c>
      <c r="D17" s="326">
        <f>VLOOKUP(B17,'[1]I to V-Dist'!$A$3:$B$36,2,0)</f>
        <v>84</v>
      </c>
      <c r="E17" s="326">
        <v>0</v>
      </c>
      <c r="F17" s="326">
        <f>VLOOKUP(B17,'[1]I to V-Dist'!$A$3:$D$36,4,0)</f>
        <v>31</v>
      </c>
      <c r="G17" s="325">
        <f t="shared" si="0"/>
        <v>35055</v>
      </c>
      <c r="H17" s="327">
        <v>216</v>
      </c>
      <c r="I17" s="328">
        <f t="shared" si="1"/>
        <v>757.18799999999999</v>
      </c>
      <c r="J17" s="328">
        <f t="shared" si="2"/>
        <v>757.18799999999999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417">
        <v>111.3</v>
      </c>
      <c r="T17" s="498">
        <f t="shared" si="3"/>
        <v>8.4275024399999996</v>
      </c>
    </row>
    <row r="18" spans="1:20" s="360" customFormat="1">
      <c r="A18" s="204">
        <f t="shared" si="4"/>
        <v>8</v>
      </c>
      <c r="B18" s="204" t="s">
        <v>594</v>
      </c>
      <c r="C18" s="326">
        <f>VLOOKUP(B18,'[1]I to V-Dist'!$A$3:$C$36,3,0)</f>
        <v>43547</v>
      </c>
      <c r="D18" s="326">
        <f>VLOOKUP(B18,'[1]I to V-Dist'!$A$3:$B$36,2,0)</f>
        <v>351</v>
      </c>
      <c r="E18" s="326">
        <v>0</v>
      </c>
      <c r="F18" s="326">
        <f>VLOOKUP(B18,'[1]I to V-Dist'!$A$3:$D$36,4,0)</f>
        <v>0</v>
      </c>
      <c r="G18" s="325">
        <f t="shared" si="0"/>
        <v>43898</v>
      </c>
      <c r="H18" s="327">
        <v>216</v>
      </c>
      <c r="I18" s="328">
        <f t="shared" si="1"/>
        <v>948.19680000000005</v>
      </c>
      <c r="J18" s="328">
        <f t="shared" si="2"/>
        <v>948.19680000000005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417">
        <v>111.3</v>
      </c>
      <c r="T18" s="498">
        <f t="shared" si="3"/>
        <v>10.553430384</v>
      </c>
    </row>
    <row r="19" spans="1:20" s="360" customFormat="1">
      <c r="A19" s="204">
        <f t="shared" si="4"/>
        <v>9</v>
      </c>
      <c r="B19" s="204" t="s">
        <v>595</v>
      </c>
      <c r="C19" s="326">
        <f>VLOOKUP(B19,'[1]I to V-Dist'!$A$3:$C$36,3,0)</f>
        <v>17987</v>
      </c>
      <c r="D19" s="326">
        <f>VLOOKUP(B19,'[1]I to V-Dist'!$A$3:$B$36,2,0)</f>
        <v>1089</v>
      </c>
      <c r="E19" s="326">
        <v>0</v>
      </c>
      <c r="F19" s="326">
        <f>VLOOKUP(B19,'[1]I to V-Dist'!$A$3:$D$36,4,0)</f>
        <v>19</v>
      </c>
      <c r="G19" s="325">
        <f t="shared" si="0"/>
        <v>19095</v>
      </c>
      <c r="H19" s="327">
        <v>216</v>
      </c>
      <c r="I19" s="328">
        <f t="shared" si="1"/>
        <v>412.452</v>
      </c>
      <c r="J19" s="328">
        <f t="shared" si="2"/>
        <v>412.452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417">
        <v>111.3</v>
      </c>
      <c r="T19" s="498">
        <f t="shared" si="3"/>
        <v>4.5905907600000004</v>
      </c>
    </row>
    <row r="20" spans="1:20" s="360" customFormat="1">
      <c r="A20" s="204">
        <f t="shared" si="4"/>
        <v>10</v>
      </c>
      <c r="B20" s="204" t="s">
        <v>596</v>
      </c>
      <c r="C20" s="326">
        <f>VLOOKUP(B20,'[1]I to V-Dist'!$A$3:$C$36,3,0)</f>
        <v>42677</v>
      </c>
      <c r="D20" s="326">
        <f>VLOOKUP(B20,'[1]I to V-Dist'!$A$3:$B$36,2,0)</f>
        <v>2272</v>
      </c>
      <c r="E20" s="326">
        <v>0</v>
      </c>
      <c r="F20" s="326">
        <f>VLOOKUP(B20,'[1]I to V-Dist'!$A$3:$D$36,4,0)</f>
        <v>37</v>
      </c>
      <c r="G20" s="325">
        <f t="shared" si="0"/>
        <v>44986</v>
      </c>
      <c r="H20" s="327">
        <v>216</v>
      </c>
      <c r="I20" s="328">
        <f t="shared" si="1"/>
        <v>971.69760000000008</v>
      </c>
      <c r="J20" s="328">
        <f t="shared" si="2"/>
        <v>971.69760000000008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417">
        <v>111.3</v>
      </c>
      <c r="T20" s="498">
        <f t="shared" si="3"/>
        <v>10.814994288000001</v>
      </c>
    </row>
    <row r="21" spans="1:20" s="360" customFormat="1">
      <c r="A21" s="204">
        <f t="shared" si="4"/>
        <v>11</v>
      </c>
      <c r="B21" s="204" t="s">
        <v>626</v>
      </c>
      <c r="C21" s="326">
        <f>VLOOKUP(B21,'[1]I to V-Dist'!$A$3:$C$36,3,0)</f>
        <v>27763</v>
      </c>
      <c r="D21" s="326">
        <f>VLOOKUP(B21,'[1]I to V-Dist'!$A$3:$B$36,2,0)</f>
        <v>526</v>
      </c>
      <c r="E21" s="326">
        <v>0</v>
      </c>
      <c r="F21" s="326">
        <f>VLOOKUP(B21,'[1]I to V-Dist'!$A$3:$D$36,4,0)</f>
        <v>537</v>
      </c>
      <c r="G21" s="325">
        <f t="shared" si="0"/>
        <v>28826</v>
      </c>
      <c r="H21" s="327">
        <v>216</v>
      </c>
      <c r="I21" s="328">
        <f t="shared" si="1"/>
        <v>622.64160000000004</v>
      </c>
      <c r="J21" s="328">
        <f t="shared" si="2"/>
        <v>622.64160000000004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417">
        <v>111.3</v>
      </c>
      <c r="T21" s="498">
        <f t="shared" si="3"/>
        <v>6.9300010080000005</v>
      </c>
    </row>
    <row r="22" spans="1:20" s="360" customFormat="1">
      <c r="A22" s="204">
        <f t="shared" si="4"/>
        <v>12</v>
      </c>
      <c r="B22" s="204" t="s">
        <v>597</v>
      </c>
      <c r="C22" s="326">
        <f>VLOOKUP(B22,'[1]I to V-Dist'!$A$3:$C$36,3,0)</f>
        <v>26495</v>
      </c>
      <c r="D22" s="326">
        <f>VLOOKUP(B22,'[1]I to V-Dist'!$A$3:$B$36,2,0)</f>
        <v>74</v>
      </c>
      <c r="E22" s="326">
        <v>0</v>
      </c>
      <c r="F22" s="326">
        <f>VLOOKUP(B22,'[1]I to V-Dist'!$A$3:$D$36,4,0)</f>
        <v>121</v>
      </c>
      <c r="G22" s="325">
        <f t="shared" si="0"/>
        <v>26690</v>
      </c>
      <c r="H22" s="327">
        <v>216</v>
      </c>
      <c r="I22" s="328">
        <f t="shared" si="1"/>
        <v>576.50400000000002</v>
      </c>
      <c r="J22" s="328">
        <f t="shared" si="2"/>
        <v>576.50400000000002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417">
        <v>111.3</v>
      </c>
      <c r="T22" s="498">
        <f t="shared" si="3"/>
        <v>6.4164895200000007</v>
      </c>
    </row>
    <row r="23" spans="1:20" s="360" customFormat="1">
      <c r="A23" s="204">
        <f t="shared" si="4"/>
        <v>13</v>
      </c>
      <c r="B23" s="204" t="s">
        <v>598</v>
      </c>
      <c r="C23" s="326">
        <f>VLOOKUP(B23,'[1]I to V-Dist'!$A$3:$C$36,3,0)</f>
        <v>37734</v>
      </c>
      <c r="D23" s="326">
        <f>VLOOKUP(B23,'[1]I to V-Dist'!$A$3:$B$36,2,0)</f>
        <v>1403</v>
      </c>
      <c r="E23" s="326">
        <v>0</v>
      </c>
      <c r="F23" s="326">
        <f>VLOOKUP(B23,'[1]I to V-Dist'!$A$3:$D$36,4,0)</f>
        <v>608</v>
      </c>
      <c r="G23" s="325">
        <f t="shared" si="0"/>
        <v>39745</v>
      </c>
      <c r="H23" s="327">
        <v>216</v>
      </c>
      <c r="I23" s="328">
        <f t="shared" si="1"/>
        <v>858.49200000000008</v>
      </c>
      <c r="J23" s="328">
        <f t="shared" si="2"/>
        <v>858.49200000000008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417">
        <v>111.3</v>
      </c>
      <c r="T23" s="498">
        <f t="shared" si="3"/>
        <v>9.5550159600000022</v>
      </c>
    </row>
    <row r="24" spans="1:20" s="360" customFormat="1">
      <c r="A24" s="204">
        <f t="shared" si="4"/>
        <v>14</v>
      </c>
      <c r="B24" s="204" t="s">
        <v>627</v>
      </c>
      <c r="C24" s="326">
        <f>VLOOKUP(B24,'[1]I to V-Dist'!$A$3:$C$36,3,0)</f>
        <v>20262</v>
      </c>
      <c r="D24" s="326">
        <f>VLOOKUP(B24,'[1]I to V-Dist'!$A$3:$B$36,2,0)</f>
        <v>983</v>
      </c>
      <c r="E24" s="326">
        <v>0</v>
      </c>
      <c r="F24" s="326">
        <f>VLOOKUP(B24,'[1]I to V-Dist'!$A$3:$D$36,4,0)</f>
        <v>111</v>
      </c>
      <c r="G24" s="325">
        <f t="shared" si="0"/>
        <v>21356</v>
      </c>
      <c r="H24" s="327">
        <v>216</v>
      </c>
      <c r="I24" s="328">
        <f t="shared" si="1"/>
        <v>461.28960000000001</v>
      </c>
      <c r="J24" s="328">
        <f t="shared" si="2"/>
        <v>461.28960000000001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417">
        <v>111.3</v>
      </c>
      <c r="T24" s="498">
        <f t="shared" si="3"/>
        <v>5.1341532479999996</v>
      </c>
    </row>
    <row r="25" spans="1:20" s="360" customFormat="1">
      <c r="A25" s="204">
        <f t="shared" si="4"/>
        <v>15</v>
      </c>
      <c r="B25" s="204" t="s">
        <v>599</v>
      </c>
      <c r="C25" s="326">
        <f>VLOOKUP(B25,'[1]I to V-Dist'!$A$3:$C$36,3,0)</f>
        <v>38843</v>
      </c>
      <c r="D25" s="326">
        <f>VLOOKUP(B25,'[1]I to V-Dist'!$A$3:$B$36,2,0)</f>
        <v>57</v>
      </c>
      <c r="E25" s="326">
        <v>0</v>
      </c>
      <c r="F25" s="326">
        <f>VLOOKUP(B25,'[1]I to V-Dist'!$A$3:$D$36,4,0)</f>
        <v>240</v>
      </c>
      <c r="G25" s="325">
        <f t="shared" si="0"/>
        <v>39140</v>
      </c>
      <c r="H25" s="327">
        <v>216</v>
      </c>
      <c r="I25" s="328">
        <f t="shared" si="1"/>
        <v>845.42400000000009</v>
      </c>
      <c r="J25" s="328">
        <f t="shared" si="2"/>
        <v>845.42400000000009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417">
        <v>111.3</v>
      </c>
      <c r="T25" s="498">
        <f t="shared" si="3"/>
        <v>9.4095691200000005</v>
      </c>
    </row>
    <row r="26" spans="1:20" s="360" customFormat="1">
      <c r="A26" s="204">
        <f t="shared" si="4"/>
        <v>16</v>
      </c>
      <c r="B26" s="204" t="s">
        <v>600</v>
      </c>
      <c r="C26" s="326">
        <f>VLOOKUP(B26,'[1]I to V-Dist'!$A$3:$C$36,3,0)</f>
        <v>39309</v>
      </c>
      <c r="D26" s="326">
        <f>VLOOKUP(B26,'[1]I to V-Dist'!$A$3:$B$36,2,0)</f>
        <v>467</v>
      </c>
      <c r="E26" s="326">
        <v>0</v>
      </c>
      <c r="F26" s="326">
        <f>VLOOKUP(B26,'[1]I to V-Dist'!$A$3:$D$36,4,0)</f>
        <v>518</v>
      </c>
      <c r="G26" s="325">
        <f t="shared" si="0"/>
        <v>40294</v>
      </c>
      <c r="H26" s="327">
        <v>216</v>
      </c>
      <c r="I26" s="328">
        <f t="shared" si="1"/>
        <v>870.35040000000004</v>
      </c>
      <c r="J26" s="328">
        <f t="shared" si="2"/>
        <v>870.35040000000004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417">
        <v>111.3</v>
      </c>
      <c r="T26" s="498">
        <f t="shared" si="3"/>
        <v>9.6869999520000007</v>
      </c>
    </row>
    <row r="27" spans="1:20" s="360" customFormat="1">
      <c r="A27" s="204">
        <f t="shared" si="4"/>
        <v>17</v>
      </c>
      <c r="B27" s="426" t="s">
        <v>684</v>
      </c>
      <c r="C27" s="326">
        <f>VLOOKUP(B27,'[1]I to V-Dist'!$A$3:$C$36,3,0)</f>
        <v>11143</v>
      </c>
      <c r="D27" s="326">
        <f>VLOOKUP(B27,'[1]I to V-Dist'!$A$3:$B$36,2,0)</f>
        <v>59</v>
      </c>
      <c r="E27" s="326">
        <v>0</v>
      </c>
      <c r="F27" s="326">
        <f>VLOOKUP(B27,'[1]I to V-Dist'!$A$3:$D$36,4,0)</f>
        <v>0</v>
      </c>
      <c r="G27" s="325">
        <f t="shared" si="0"/>
        <v>11202</v>
      </c>
      <c r="H27" s="327">
        <v>216</v>
      </c>
      <c r="I27" s="328">
        <f>SUM(J27:L27)</f>
        <v>241.9632</v>
      </c>
      <c r="J27" s="328">
        <f t="shared" si="2"/>
        <v>241.9632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417">
        <v>111.3</v>
      </c>
      <c r="T27" s="498">
        <f t="shared" si="3"/>
        <v>2.6930504160000002</v>
      </c>
    </row>
    <row r="28" spans="1:20">
      <c r="A28" s="204">
        <f>A27+1</f>
        <v>18</v>
      </c>
      <c r="B28" s="204" t="s">
        <v>601</v>
      </c>
      <c r="C28" s="326">
        <f>VLOOKUP(B28,'[1]I to V-Dist'!$A$3:$C$36,3,0)</f>
        <v>31968</v>
      </c>
      <c r="D28" s="326">
        <f>VLOOKUP(B28,'[1]I to V-Dist'!$A$3:$B$36,2,0)</f>
        <v>533</v>
      </c>
      <c r="E28" s="326">
        <v>0</v>
      </c>
      <c r="F28" s="326">
        <f>VLOOKUP(B28,'[1]I to V-Dist'!$A$3:$D$36,4,0)</f>
        <v>48</v>
      </c>
      <c r="G28" s="325">
        <f t="shared" si="0"/>
        <v>32549</v>
      </c>
      <c r="H28" s="327">
        <v>216</v>
      </c>
      <c r="I28" s="328">
        <f t="shared" si="1"/>
        <v>703.05840000000001</v>
      </c>
      <c r="J28" s="328">
        <f t="shared" si="2"/>
        <v>703.05840000000001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417">
        <v>111.3</v>
      </c>
      <c r="T28" s="498">
        <f t="shared" si="3"/>
        <v>7.8250399919999998</v>
      </c>
    </row>
    <row r="29" spans="1:20">
      <c r="A29" s="204">
        <f t="shared" si="4"/>
        <v>19</v>
      </c>
      <c r="B29" s="204" t="s">
        <v>602</v>
      </c>
      <c r="C29" s="326">
        <f>VLOOKUP(B29,'[1]I to V-Dist'!$A$3:$C$36,3,0)</f>
        <v>47743</v>
      </c>
      <c r="D29" s="326">
        <f>VLOOKUP(B29,'[1]I to V-Dist'!$A$3:$B$36,2,0)</f>
        <v>3756</v>
      </c>
      <c r="E29" s="326">
        <v>0</v>
      </c>
      <c r="F29" s="326">
        <f>VLOOKUP(B29,'[1]I to V-Dist'!$A$3:$D$36,4,0)</f>
        <v>514</v>
      </c>
      <c r="G29" s="325">
        <f t="shared" si="0"/>
        <v>52013</v>
      </c>
      <c r="H29" s="327">
        <v>216</v>
      </c>
      <c r="I29" s="328">
        <f t="shared" si="1"/>
        <v>1123.4808</v>
      </c>
      <c r="J29" s="328">
        <f t="shared" si="2"/>
        <v>1123.4808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417">
        <v>111.3</v>
      </c>
      <c r="T29" s="498">
        <f t="shared" si="3"/>
        <v>12.504341304000002</v>
      </c>
    </row>
    <row r="30" spans="1:20">
      <c r="A30" s="204">
        <f t="shared" si="4"/>
        <v>20</v>
      </c>
      <c r="B30" s="426" t="s">
        <v>683</v>
      </c>
      <c r="C30" s="326">
        <f>VLOOKUP(B30,'[1]I to V-Dist'!$A$3:$C$36,3,0)</f>
        <v>31752</v>
      </c>
      <c r="D30" s="326">
        <f>VLOOKUP(B30,'[1]I to V-Dist'!$A$3:$B$36,2,0)</f>
        <v>518</v>
      </c>
      <c r="E30" s="326">
        <v>0</v>
      </c>
      <c r="F30" s="326">
        <f>VLOOKUP(B30,'[1]I to V-Dist'!$A$3:$D$36,4,0)</f>
        <v>349</v>
      </c>
      <c r="G30" s="325">
        <f t="shared" si="0"/>
        <v>32619</v>
      </c>
      <c r="H30" s="327">
        <v>216</v>
      </c>
      <c r="I30" s="328">
        <f>SUM(J30:L30)</f>
        <v>704.57040000000006</v>
      </c>
      <c r="J30" s="328">
        <f t="shared" si="2"/>
        <v>704.57040000000006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417">
        <v>111.3</v>
      </c>
      <c r="T30" s="498">
        <f t="shared" si="3"/>
        <v>7.8418685520000011</v>
      </c>
    </row>
    <row r="31" spans="1:20">
      <c r="A31" s="204">
        <f>A30+1</f>
        <v>21</v>
      </c>
      <c r="B31" s="204" t="s">
        <v>628</v>
      </c>
      <c r="C31" s="326">
        <f>VLOOKUP(B31,'[1]I to V-Dist'!$A$3:$C$36,3,0)</f>
        <v>26715</v>
      </c>
      <c r="D31" s="326">
        <f>VLOOKUP(B31,'[1]I to V-Dist'!$A$3:$B$36,2,0)</f>
        <v>188</v>
      </c>
      <c r="E31" s="326">
        <v>0</v>
      </c>
      <c r="F31" s="326">
        <f>VLOOKUP(B31,'[1]I to V-Dist'!$A$3:$D$36,4,0)</f>
        <v>416</v>
      </c>
      <c r="G31" s="325">
        <f t="shared" si="0"/>
        <v>27319</v>
      </c>
      <c r="H31" s="327">
        <v>216</v>
      </c>
      <c r="I31" s="328">
        <f t="shared" si="1"/>
        <v>590.09040000000005</v>
      </c>
      <c r="J31" s="328">
        <f t="shared" si="2"/>
        <v>590.09040000000005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417">
        <v>111.3</v>
      </c>
      <c r="T31" s="498">
        <f t="shared" si="3"/>
        <v>6.5677061520000004</v>
      </c>
    </row>
    <row r="32" spans="1:20">
      <c r="A32" s="204">
        <f t="shared" si="4"/>
        <v>22</v>
      </c>
      <c r="B32" s="204" t="s">
        <v>603</v>
      </c>
      <c r="C32" s="326">
        <f>VLOOKUP(B32,'[1]I to V-Dist'!$A$3:$C$36,3,0)</f>
        <v>46865</v>
      </c>
      <c r="D32" s="326">
        <f>VLOOKUP(B32,'[1]I to V-Dist'!$A$3:$B$36,2,0)</f>
        <v>6551</v>
      </c>
      <c r="E32" s="326">
        <v>0</v>
      </c>
      <c r="F32" s="326">
        <f>VLOOKUP(B32,'[1]I to V-Dist'!$A$3:$D$36,4,0)</f>
        <v>58</v>
      </c>
      <c r="G32" s="325">
        <f t="shared" si="0"/>
        <v>53474</v>
      </c>
      <c r="H32" s="327">
        <v>216</v>
      </c>
      <c r="I32" s="328">
        <f t="shared" si="1"/>
        <v>1155.0384000000001</v>
      </c>
      <c r="J32" s="328">
        <f t="shared" si="2"/>
        <v>1155.0384000000001</v>
      </c>
      <c r="K32" s="328">
        <v>0</v>
      </c>
      <c r="L32" s="328">
        <v>0</v>
      </c>
      <c r="M32" s="328">
        <v>0</v>
      </c>
      <c r="N32" s="328">
        <v>0</v>
      </c>
      <c r="O32" s="328">
        <v>0</v>
      </c>
      <c r="P32" s="328">
        <v>0</v>
      </c>
      <c r="Q32" s="328">
        <v>0</v>
      </c>
      <c r="R32" s="328">
        <v>0</v>
      </c>
      <c r="S32" s="417">
        <v>111.3</v>
      </c>
      <c r="T32" s="498">
        <f t="shared" si="3"/>
        <v>12.855577392000002</v>
      </c>
    </row>
    <row r="33" spans="1:20">
      <c r="A33" s="204">
        <f t="shared" si="4"/>
        <v>23</v>
      </c>
      <c r="B33" s="204" t="s">
        <v>604</v>
      </c>
      <c r="C33" s="326">
        <f>VLOOKUP(B33,'[1]I to V-Dist'!$A$3:$C$36,3,0)</f>
        <v>14226</v>
      </c>
      <c r="D33" s="326">
        <f>VLOOKUP(B33,'[1]I to V-Dist'!$A$3:$B$36,2,0)</f>
        <v>624</v>
      </c>
      <c r="E33" s="326">
        <v>0</v>
      </c>
      <c r="F33" s="326">
        <f>VLOOKUP(B33,'[1]I to V-Dist'!$A$3:$D$36,4,0)</f>
        <v>0</v>
      </c>
      <c r="G33" s="325">
        <f t="shared" si="0"/>
        <v>14850</v>
      </c>
      <c r="H33" s="327">
        <v>216</v>
      </c>
      <c r="I33" s="328">
        <f t="shared" si="1"/>
        <v>320.76</v>
      </c>
      <c r="J33" s="328">
        <f t="shared" si="2"/>
        <v>320.76</v>
      </c>
      <c r="K33" s="328">
        <v>0</v>
      </c>
      <c r="L33" s="328">
        <v>0</v>
      </c>
      <c r="M33" s="328">
        <v>0</v>
      </c>
      <c r="N33" s="328">
        <v>0</v>
      </c>
      <c r="O33" s="328">
        <v>0</v>
      </c>
      <c r="P33" s="328">
        <v>0</v>
      </c>
      <c r="Q33" s="328">
        <v>0</v>
      </c>
      <c r="R33" s="328">
        <v>0</v>
      </c>
      <c r="S33" s="417">
        <v>111.3</v>
      </c>
      <c r="T33" s="498">
        <f t="shared" si="3"/>
        <v>3.5700588</v>
      </c>
    </row>
    <row r="34" spans="1:20">
      <c r="A34" s="204">
        <f t="shared" si="4"/>
        <v>24</v>
      </c>
      <c r="B34" s="204" t="s">
        <v>605</v>
      </c>
      <c r="C34" s="326">
        <f>VLOOKUP(B34,'[1]I to V-Dist'!$A$3:$C$36,3,0)</f>
        <v>17475</v>
      </c>
      <c r="D34" s="326">
        <f>VLOOKUP(B34,'[1]I to V-Dist'!$A$3:$B$36,2,0)</f>
        <v>101</v>
      </c>
      <c r="E34" s="326">
        <v>0</v>
      </c>
      <c r="F34" s="326">
        <f>VLOOKUP(B34,'[1]I to V-Dist'!$A$3:$D$36,4,0)</f>
        <v>1</v>
      </c>
      <c r="G34" s="325">
        <f t="shared" si="0"/>
        <v>17577</v>
      </c>
      <c r="H34" s="327">
        <v>216</v>
      </c>
      <c r="I34" s="328">
        <f t="shared" si="1"/>
        <v>379.66320000000002</v>
      </c>
      <c r="J34" s="328">
        <f t="shared" si="2"/>
        <v>379.66320000000002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8">
        <v>0</v>
      </c>
      <c r="R34" s="328">
        <v>0</v>
      </c>
      <c r="S34" s="417">
        <v>111.3</v>
      </c>
      <c r="T34" s="498">
        <f t="shared" si="3"/>
        <v>4.2256514160000007</v>
      </c>
    </row>
    <row r="35" spans="1:20">
      <c r="A35" s="204">
        <f t="shared" si="4"/>
        <v>25</v>
      </c>
      <c r="B35" s="204" t="s">
        <v>606</v>
      </c>
      <c r="C35" s="326">
        <f>VLOOKUP(B35,'[1]I to V-Dist'!$A$3:$C$36,3,0)</f>
        <v>71871</v>
      </c>
      <c r="D35" s="326">
        <f>VLOOKUP(B35,'[1]I to V-Dist'!$A$3:$B$36,2,0)</f>
        <v>1588</v>
      </c>
      <c r="E35" s="326">
        <v>0</v>
      </c>
      <c r="F35" s="326">
        <f>VLOOKUP(B35,'[1]I to V-Dist'!$A$3:$D$36,4,0)</f>
        <v>1552</v>
      </c>
      <c r="G35" s="325">
        <f t="shared" si="0"/>
        <v>75011</v>
      </c>
      <c r="H35" s="327">
        <v>216</v>
      </c>
      <c r="I35" s="328">
        <f t="shared" si="1"/>
        <v>1620.2376000000002</v>
      </c>
      <c r="J35" s="328">
        <f t="shared" si="2"/>
        <v>1620.2376000000002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8">
        <v>0</v>
      </c>
      <c r="R35" s="328">
        <v>0</v>
      </c>
      <c r="S35" s="417">
        <v>111.3</v>
      </c>
      <c r="T35" s="498">
        <f t="shared" si="3"/>
        <v>18.033244488000001</v>
      </c>
    </row>
    <row r="36" spans="1:20">
      <c r="A36" s="204">
        <f t="shared" si="4"/>
        <v>26</v>
      </c>
      <c r="B36" s="204" t="s">
        <v>607</v>
      </c>
      <c r="C36" s="326">
        <f>VLOOKUP(B36,'[1]I to V-Dist'!$A$3:$C$36,3,0)</f>
        <v>57840</v>
      </c>
      <c r="D36" s="326">
        <f>VLOOKUP(B36,'[1]I to V-Dist'!$A$3:$B$36,2,0)</f>
        <v>537</v>
      </c>
      <c r="E36" s="326">
        <v>0</v>
      </c>
      <c r="F36" s="326">
        <f>VLOOKUP(B36,'[1]I to V-Dist'!$A$3:$D$36,4,0)</f>
        <v>392</v>
      </c>
      <c r="G36" s="325">
        <f t="shared" si="0"/>
        <v>58769</v>
      </c>
      <c r="H36" s="327">
        <v>216</v>
      </c>
      <c r="I36" s="328">
        <f t="shared" si="1"/>
        <v>1269.4104</v>
      </c>
      <c r="J36" s="328">
        <f t="shared" si="2"/>
        <v>1269.4104</v>
      </c>
      <c r="K36" s="328">
        <v>0</v>
      </c>
      <c r="L36" s="328">
        <v>0</v>
      </c>
      <c r="M36" s="328">
        <v>0</v>
      </c>
      <c r="N36" s="328">
        <v>0</v>
      </c>
      <c r="O36" s="328">
        <v>0</v>
      </c>
      <c r="P36" s="328">
        <v>0</v>
      </c>
      <c r="Q36" s="328">
        <v>0</v>
      </c>
      <c r="R36" s="328">
        <v>0</v>
      </c>
      <c r="S36" s="417">
        <v>111.3</v>
      </c>
      <c r="T36" s="498">
        <f t="shared" si="3"/>
        <v>14.128537752</v>
      </c>
    </row>
    <row r="37" spans="1:20">
      <c r="A37" s="204">
        <f t="shared" si="4"/>
        <v>27</v>
      </c>
      <c r="B37" s="204" t="s">
        <v>608</v>
      </c>
      <c r="C37" s="326">
        <f>VLOOKUP(B37,'[1]I to V-Dist'!$A$3:$C$36,3,0)</f>
        <v>37673</v>
      </c>
      <c r="D37" s="326">
        <f>VLOOKUP(B37,'[1]I to V-Dist'!$A$3:$B$36,2,0)</f>
        <v>12</v>
      </c>
      <c r="E37" s="326">
        <v>0</v>
      </c>
      <c r="F37" s="326">
        <f>VLOOKUP(B37,'[1]I to V-Dist'!$A$3:$D$36,4,0)</f>
        <v>100</v>
      </c>
      <c r="G37" s="325">
        <f t="shared" si="0"/>
        <v>37785</v>
      </c>
      <c r="H37" s="327">
        <v>216</v>
      </c>
      <c r="I37" s="328">
        <f t="shared" si="1"/>
        <v>816.15600000000006</v>
      </c>
      <c r="J37" s="328">
        <f t="shared" si="2"/>
        <v>816.15600000000006</v>
      </c>
      <c r="K37" s="328">
        <v>0</v>
      </c>
      <c r="L37" s="328">
        <v>0</v>
      </c>
      <c r="M37" s="328">
        <v>0</v>
      </c>
      <c r="N37" s="328">
        <v>0</v>
      </c>
      <c r="O37" s="328">
        <v>0</v>
      </c>
      <c r="P37" s="328">
        <v>0</v>
      </c>
      <c r="Q37" s="328">
        <v>0</v>
      </c>
      <c r="R37" s="328">
        <v>0</v>
      </c>
      <c r="S37" s="417">
        <v>111.3</v>
      </c>
      <c r="T37" s="498">
        <f t="shared" si="3"/>
        <v>9.0838162800000006</v>
      </c>
    </row>
    <row r="38" spans="1:20">
      <c r="A38" s="204">
        <f t="shared" si="4"/>
        <v>28</v>
      </c>
      <c r="B38" s="204" t="s">
        <v>609</v>
      </c>
      <c r="C38" s="326">
        <f>VLOOKUP(B38,'[1]I to V-Dist'!$A$3:$C$36,3,0)</f>
        <v>29390</v>
      </c>
      <c r="D38" s="326">
        <f>VLOOKUP(B38,'[1]I to V-Dist'!$A$3:$B$36,2,0)</f>
        <v>1485</v>
      </c>
      <c r="E38" s="326">
        <v>0</v>
      </c>
      <c r="F38" s="326">
        <f>VLOOKUP(B38,'[1]I to V-Dist'!$A$3:$D$36,4,0)</f>
        <v>301</v>
      </c>
      <c r="G38" s="325">
        <f t="shared" si="0"/>
        <v>31176</v>
      </c>
      <c r="H38" s="327">
        <v>216</v>
      </c>
      <c r="I38" s="328">
        <f t="shared" si="1"/>
        <v>673.40160000000003</v>
      </c>
      <c r="J38" s="328">
        <f t="shared" si="2"/>
        <v>673.40160000000003</v>
      </c>
      <c r="K38" s="328">
        <v>0</v>
      </c>
      <c r="L38" s="328">
        <v>0</v>
      </c>
      <c r="M38" s="328">
        <v>0</v>
      </c>
      <c r="N38" s="328">
        <v>0</v>
      </c>
      <c r="O38" s="328">
        <v>0</v>
      </c>
      <c r="P38" s="328">
        <v>0</v>
      </c>
      <c r="Q38" s="328">
        <v>0</v>
      </c>
      <c r="R38" s="328">
        <v>0</v>
      </c>
      <c r="S38" s="417">
        <v>111.3</v>
      </c>
      <c r="T38" s="498">
        <f t="shared" si="3"/>
        <v>7.4949598079999999</v>
      </c>
    </row>
    <row r="39" spans="1:20">
      <c r="A39" s="204">
        <f t="shared" si="4"/>
        <v>29</v>
      </c>
      <c r="B39" s="204" t="s">
        <v>610</v>
      </c>
      <c r="C39" s="326">
        <f>VLOOKUP(B39,'[1]I to V-Dist'!$A$3:$C$36,3,0)</f>
        <v>44156</v>
      </c>
      <c r="D39" s="326">
        <f>VLOOKUP(B39,'[1]I to V-Dist'!$A$3:$B$36,2,0)</f>
        <v>2232</v>
      </c>
      <c r="E39" s="326">
        <v>0</v>
      </c>
      <c r="F39" s="326">
        <f>VLOOKUP(B39,'[1]I to V-Dist'!$A$3:$D$36,4,0)</f>
        <v>68</v>
      </c>
      <c r="G39" s="325">
        <f t="shared" si="0"/>
        <v>46456</v>
      </c>
      <c r="H39" s="327">
        <v>216</v>
      </c>
      <c r="I39" s="328">
        <f t="shared" si="1"/>
        <v>1003.4496</v>
      </c>
      <c r="J39" s="328">
        <f t="shared" si="2"/>
        <v>1003.4496</v>
      </c>
      <c r="K39" s="328">
        <v>0</v>
      </c>
      <c r="L39" s="328">
        <v>0</v>
      </c>
      <c r="M39" s="328">
        <v>0</v>
      </c>
      <c r="N39" s="328">
        <v>0</v>
      </c>
      <c r="O39" s="328">
        <v>0</v>
      </c>
      <c r="P39" s="328">
        <v>0</v>
      </c>
      <c r="Q39" s="328">
        <v>0</v>
      </c>
      <c r="R39" s="328">
        <v>0</v>
      </c>
      <c r="S39" s="417">
        <v>111.3</v>
      </c>
      <c r="T39" s="498">
        <f t="shared" si="3"/>
        <v>11.168394048000001</v>
      </c>
    </row>
    <row r="40" spans="1:20">
      <c r="A40" s="204">
        <f t="shared" si="4"/>
        <v>30</v>
      </c>
      <c r="B40" s="143" t="s">
        <v>611</v>
      </c>
      <c r="C40" s="326">
        <f>VLOOKUP(B40,'[1]I to V-Dist'!$A$3:$C$36,3,0)</f>
        <v>23453</v>
      </c>
      <c r="D40" s="326">
        <f>VLOOKUP(B40,'[1]I to V-Dist'!$A$3:$B$36,2,0)</f>
        <v>176</v>
      </c>
      <c r="E40" s="326">
        <v>0</v>
      </c>
      <c r="F40" s="326">
        <f>VLOOKUP(B40,'[1]I to V-Dist'!$A$3:$D$36,4,0)</f>
        <v>0</v>
      </c>
      <c r="G40" s="325">
        <f t="shared" si="0"/>
        <v>23629</v>
      </c>
      <c r="H40" s="327">
        <v>216</v>
      </c>
      <c r="I40" s="328">
        <f t="shared" si="1"/>
        <v>510.38640000000004</v>
      </c>
      <c r="J40" s="328">
        <f t="shared" si="2"/>
        <v>510.38640000000004</v>
      </c>
      <c r="K40" s="328">
        <v>0</v>
      </c>
      <c r="L40" s="328">
        <v>0</v>
      </c>
      <c r="M40" s="328">
        <v>0</v>
      </c>
      <c r="N40" s="328">
        <v>0</v>
      </c>
      <c r="O40" s="328">
        <v>0</v>
      </c>
      <c r="P40" s="328">
        <v>0</v>
      </c>
      <c r="Q40" s="328">
        <v>0</v>
      </c>
      <c r="R40" s="328">
        <v>0</v>
      </c>
      <c r="S40" s="417">
        <v>111.3</v>
      </c>
      <c r="T40" s="498">
        <f t="shared" si="3"/>
        <v>5.6806006320000009</v>
      </c>
    </row>
    <row r="41" spans="1:20">
      <c r="A41" s="204">
        <f t="shared" si="4"/>
        <v>31</v>
      </c>
      <c r="B41" s="143" t="s">
        <v>612</v>
      </c>
      <c r="C41" s="326">
        <f>VLOOKUP(B41,'[1]I to V-Dist'!$A$3:$C$36,3,0)</f>
        <v>17916</v>
      </c>
      <c r="D41" s="326">
        <f>VLOOKUP(B41,'[1]I to V-Dist'!$A$3:$B$36,2,0)</f>
        <v>59</v>
      </c>
      <c r="E41" s="326">
        <v>0</v>
      </c>
      <c r="F41" s="326">
        <f>VLOOKUP(B41,'[1]I to V-Dist'!$A$3:$D$36,4,0)</f>
        <v>23</v>
      </c>
      <c r="G41" s="325">
        <f t="shared" si="0"/>
        <v>17998</v>
      </c>
      <c r="H41" s="327">
        <v>216</v>
      </c>
      <c r="I41" s="328">
        <f t="shared" si="1"/>
        <v>388.7568</v>
      </c>
      <c r="J41" s="328">
        <f t="shared" si="2"/>
        <v>388.7568</v>
      </c>
      <c r="K41" s="328">
        <v>0</v>
      </c>
      <c r="L41" s="328">
        <v>0</v>
      </c>
      <c r="M41" s="328">
        <v>0</v>
      </c>
      <c r="N41" s="328">
        <v>0</v>
      </c>
      <c r="O41" s="328">
        <v>0</v>
      </c>
      <c r="P41" s="328">
        <v>0</v>
      </c>
      <c r="Q41" s="328">
        <v>0</v>
      </c>
      <c r="R41" s="328">
        <v>0</v>
      </c>
      <c r="S41" s="417">
        <v>111.3</v>
      </c>
      <c r="T41" s="498">
        <f t="shared" si="3"/>
        <v>4.3268631839999996</v>
      </c>
    </row>
    <row r="42" spans="1:20">
      <c r="A42" s="204">
        <f t="shared" si="4"/>
        <v>32</v>
      </c>
      <c r="B42" s="143" t="s">
        <v>613</v>
      </c>
      <c r="C42" s="326">
        <f>VLOOKUP(B42,'[1]I to V-Dist'!$A$3:$C$36,3,0)</f>
        <v>19432</v>
      </c>
      <c r="D42" s="326">
        <f>VLOOKUP(B42,'[1]I to V-Dist'!$A$3:$B$36,2,0)</f>
        <v>1849</v>
      </c>
      <c r="E42" s="326">
        <v>0</v>
      </c>
      <c r="F42" s="326">
        <f>VLOOKUP(B42,'[1]I to V-Dist'!$A$3:$D$36,4,0)</f>
        <v>1204</v>
      </c>
      <c r="G42" s="325">
        <f t="shared" si="0"/>
        <v>22485</v>
      </c>
      <c r="H42" s="327">
        <v>216</v>
      </c>
      <c r="I42" s="328">
        <f t="shared" si="1"/>
        <v>485.67600000000004</v>
      </c>
      <c r="J42" s="328">
        <f t="shared" si="2"/>
        <v>485.67600000000004</v>
      </c>
      <c r="K42" s="328">
        <v>0</v>
      </c>
      <c r="L42" s="328">
        <v>0</v>
      </c>
      <c r="M42" s="328">
        <v>0</v>
      </c>
      <c r="N42" s="328">
        <v>0</v>
      </c>
      <c r="O42" s="328">
        <v>0</v>
      </c>
      <c r="P42" s="328">
        <v>0</v>
      </c>
      <c r="Q42" s="328">
        <v>0</v>
      </c>
      <c r="R42" s="328">
        <v>0</v>
      </c>
      <c r="S42" s="417">
        <v>111.3</v>
      </c>
      <c r="T42" s="498">
        <f t="shared" si="3"/>
        <v>5.4055738800000004</v>
      </c>
    </row>
    <row r="43" spans="1:20">
      <c r="A43" s="204">
        <f t="shared" si="4"/>
        <v>33</v>
      </c>
      <c r="B43" s="143" t="s">
        <v>614</v>
      </c>
      <c r="C43" s="326">
        <f>VLOOKUP(B43,'[1]I to V-Dist'!$A$3:$C$36,3,0)</f>
        <v>19189</v>
      </c>
      <c r="D43" s="326">
        <f>VLOOKUP(B43,'[1]I to V-Dist'!$A$3:$B$36,2,0)</f>
        <v>244</v>
      </c>
      <c r="E43" s="326">
        <v>0</v>
      </c>
      <c r="F43" s="326">
        <f>VLOOKUP(B43,'[1]I to V-Dist'!$A$3:$D$36,4,0)</f>
        <v>136</v>
      </c>
      <c r="G43" s="325">
        <f t="shared" si="0"/>
        <v>19569</v>
      </c>
      <c r="H43" s="327">
        <v>216</v>
      </c>
      <c r="I43" s="328">
        <f t="shared" si="1"/>
        <v>422.69040000000001</v>
      </c>
      <c r="J43" s="328">
        <f t="shared" si="2"/>
        <v>422.69040000000001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v>0</v>
      </c>
      <c r="Q43" s="328">
        <v>0</v>
      </c>
      <c r="R43" s="328">
        <v>0</v>
      </c>
      <c r="S43" s="417">
        <v>111.3</v>
      </c>
      <c r="T43" s="498">
        <f t="shared" si="3"/>
        <v>4.7045441519999995</v>
      </c>
    </row>
    <row r="44" spans="1:20">
      <c r="A44" s="151"/>
      <c r="B44" s="151" t="s">
        <v>615</v>
      </c>
      <c r="C44" s="199">
        <f>SUM(C11:C43)</f>
        <v>1075764</v>
      </c>
      <c r="D44" s="199">
        <f t="shared" ref="D44:T44" si="5">SUM(D11:D43)</f>
        <v>51551</v>
      </c>
      <c r="E44" s="199">
        <f t="shared" si="5"/>
        <v>0</v>
      </c>
      <c r="F44" s="199">
        <f t="shared" si="5"/>
        <v>8855</v>
      </c>
      <c r="G44" s="199">
        <f t="shared" si="5"/>
        <v>1136170</v>
      </c>
      <c r="H44" s="199">
        <v>216</v>
      </c>
      <c r="I44" s="329">
        <f t="shared" si="5"/>
        <v>24541.272000000001</v>
      </c>
      <c r="J44" s="329">
        <f>SUM(J11:J43)</f>
        <v>24541.272000000001</v>
      </c>
      <c r="K44" s="329">
        <f t="shared" si="5"/>
        <v>0</v>
      </c>
      <c r="L44" s="329">
        <f t="shared" si="5"/>
        <v>0</v>
      </c>
      <c r="M44" s="329">
        <f t="shared" si="5"/>
        <v>0</v>
      </c>
      <c r="N44" s="329">
        <f t="shared" si="5"/>
        <v>0</v>
      </c>
      <c r="O44" s="329">
        <f t="shared" si="5"/>
        <v>0</v>
      </c>
      <c r="P44" s="329">
        <f t="shared" si="5"/>
        <v>0</v>
      </c>
      <c r="Q44" s="329">
        <f t="shared" si="5"/>
        <v>0</v>
      </c>
      <c r="R44" s="329">
        <f t="shared" si="5"/>
        <v>0</v>
      </c>
      <c r="S44" s="329">
        <f t="shared" si="5"/>
        <v>3672.9000000000019</v>
      </c>
      <c r="T44" s="329">
        <f t="shared" si="5"/>
        <v>273.14435736000007</v>
      </c>
    </row>
    <row r="45" spans="1:20">
      <c r="A45" s="130" t="s">
        <v>9</v>
      </c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</row>
    <row r="46" spans="1:20">
      <c r="A46" s="130" t="s">
        <v>10</v>
      </c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20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20">
      <c r="A48" s="130"/>
      <c r="B48" s="130"/>
      <c r="C48" s="130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20">
      <c r="A49" s="130"/>
      <c r="B49" s="130"/>
      <c r="C49" s="128"/>
      <c r="D49" s="128"/>
      <c r="E49" s="128"/>
      <c r="F49" s="128"/>
      <c r="G49" s="128"/>
      <c r="H49" s="128"/>
      <c r="I49" s="128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1:20">
      <c r="A50" s="1002"/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2"/>
      <c r="R50" s="1002"/>
    </row>
    <row r="51" spans="1:20" ht="14.25">
      <c r="M51" s="998" t="s">
        <v>908</v>
      </c>
      <c r="N51" s="998"/>
      <c r="O51" s="998"/>
      <c r="P51" s="998"/>
      <c r="Q51" s="998"/>
      <c r="R51" s="998"/>
      <c r="S51" s="998"/>
      <c r="T51" s="998"/>
    </row>
    <row r="52" spans="1:20" ht="14.25">
      <c r="M52" s="998" t="s">
        <v>646</v>
      </c>
      <c r="N52" s="998"/>
      <c r="O52" s="998"/>
      <c r="P52" s="998"/>
      <c r="Q52" s="998"/>
      <c r="R52" s="998"/>
      <c r="S52" s="998"/>
      <c r="T52" s="998"/>
    </row>
  </sheetData>
  <mergeCells count="18">
    <mergeCell ref="A2:T2"/>
    <mergeCell ref="A3:T3"/>
    <mergeCell ref="A4:T5"/>
    <mergeCell ref="M51:T51"/>
    <mergeCell ref="M52:T52"/>
    <mergeCell ref="G1:I1"/>
    <mergeCell ref="A6:R6"/>
    <mergeCell ref="S1:T1"/>
    <mergeCell ref="A50:R50"/>
    <mergeCell ref="L7:R7"/>
    <mergeCell ref="A8:A9"/>
    <mergeCell ref="B8:B9"/>
    <mergeCell ref="C8:G8"/>
    <mergeCell ref="A7:B7"/>
    <mergeCell ref="H8:H9"/>
    <mergeCell ref="I8:L8"/>
    <mergeCell ref="M8:R8"/>
    <mergeCell ref="S8:T8"/>
  </mergeCells>
  <phoneticPr fontId="0" type="noConversion"/>
  <printOptions horizontalCentered="1"/>
  <pageMargins left="0.32" right="0.22" top="0.48" bottom="0" header="0.31496062992125984" footer="0.31496062992125984"/>
  <pageSetup paperSize="9" scale="7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view="pageBreakPreview" topLeftCell="E23" zoomScaleNormal="70" zoomScaleSheetLayoutView="100" workbookViewId="0">
      <selection activeCell="S36" sqref="S36"/>
    </sheetView>
  </sheetViews>
  <sheetFormatPr defaultColWidth="9.140625" defaultRowHeight="12.75"/>
  <cols>
    <col min="1" max="1" width="5.5703125" style="128" customWidth="1"/>
    <col min="2" max="2" width="17.5703125" style="128" customWidth="1"/>
    <col min="3" max="3" width="10.28515625" style="128" customWidth="1"/>
    <col min="4" max="4" width="8.42578125" style="128" customWidth="1"/>
    <col min="5" max="6" width="9.85546875" style="128" customWidth="1"/>
    <col min="7" max="7" width="10.85546875" style="128" customWidth="1"/>
    <col min="8" max="8" width="12.85546875" style="128" customWidth="1"/>
    <col min="9" max="9" width="11" style="288" customWidth="1"/>
    <col min="10" max="10" width="9" style="288" customWidth="1"/>
    <col min="11" max="11" width="8" style="288" customWidth="1"/>
    <col min="12" max="14" width="8.140625" style="288" customWidth="1"/>
    <col min="15" max="15" width="8.42578125" style="288" customWidth="1"/>
    <col min="16" max="16" width="8.140625" style="288" customWidth="1"/>
    <col min="17" max="17" width="8.85546875" style="288" customWidth="1"/>
    <col min="18" max="18" width="8.140625" style="288" customWidth="1"/>
    <col min="19" max="16384" width="9.140625" style="288"/>
  </cols>
  <sheetData>
    <row r="1" spans="1:20" ht="12.75" customHeight="1">
      <c r="G1" s="999"/>
      <c r="H1" s="999"/>
      <c r="I1" s="999"/>
      <c r="J1" s="128"/>
      <c r="K1" s="128"/>
      <c r="L1" s="128"/>
      <c r="M1" s="128"/>
      <c r="N1" s="128"/>
      <c r="O1" s="128"/>
      <c r="P1" s="128"/>
      <c r="S1" s="1001" t="s">
        <v>530</v>
      </c>
      <c r="T1" s="1001"/>
    </row>
    <row r="2" spans="1:20" ht="15.7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</row>
    <row r="3" spans="1:20" ht="18">
      <c r="A3" s="1012" t="s">
        <v>737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</row>
    <row r="4" spans="1:20" ht="12.75" customHeight="1">
      <c r="A4" s="997" t="s">
        <v>798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</row>
    <row r="5" spans="1:20" s="359" customFormat="1" ht="7.5" customHeight="1">
      <c r="A5" s="997"/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</row>
    <row r="6" spans="1:20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</row>
    <row r="7" spans="1:20">
      <c r="A7" s="1007" t="s">
        <v>658</v>
      </c>
      <c r="B7" s="1007"/>
      <c r="H7" s="187"/>
      <c r="I7" s="128"/>
      <c r="J7" s="128"/>
      <c r="K7" s="128"/>
      <c r="L7" s="1003"/>
      <c r="M7" s="1003"/>
      <c r="N7" s="1003"/>
      <c r="O7" s="1003"/>
      <c r="P7" s="1003"/>
      <c r="Q7" s="1003"/>
      <c r="R7" s="1003"/>
    </row>
    <row r="8" spans="1:20" ht="30.75" customHeight="1">
      <c r="A8" s="1013" t="s">
        <v>2</v>
      </c>
      <c r="B8" s="1013" t="s">
        <v>3</v>
      </c>
      <c r="C8" s="1014" t="s">
        <v>482</v>
      </c>
      <c r="D8" s="1015"/>
      <c r="E8" s="1015"/>
      <c r="F8" s="1015"/>
      <c r="G8" s="1016"/>
      <c r="H8" s="1008" t="s">
        <v>80</v>
      </c>
      <c r="I8" s="1014" t="s">
        <v>81</v>
      </c>
      <c r="J8" s="1015"/>
      <c r="K8" s="1015"/>
      <c r="L8" s="1016"/>
      <c r="M8" s="1013" t="s">
        <v>560</v>
      </c>
      <c r="N8" s="1013"/>
      <c r="O8" s="1013"/>
      <c r="P8" s="1013"/>
      <c r="Q8" s="1013"/>
      <c r="R8" s="1013"/>
      <c r="S8" s="1010" t="s">
        <v>724</v>
      </c>
      <c r="T8" s="1010"/>
    </row>
    <row r="9" spans="1:20" ht="44.45" customHeight="1">
      <c r="A9" s="1013"/>
      <c r="B9" s="1013"/>
      <c r="C9" s="183" t="s">
        <v>5</v>
      </c>
      <c r="D9" s="183" t="s">
        <v>6</v>
      </c>
      <c r="E9" s="183" t="s">
        <v>347</v>
      </c>
      <c r="F9" s="188" t="s">
        <v>95</v>
      </c>
      <c r="G9" s="188" t="s">
        <v>224</v>
      </c>
      <c r="H9" s="1009"/>
      <c r="I9" s="183" t="s">
        <v>176</v>
      </c>
      <c r="J9" s="183" t="s">
        <v>110</v>
      </c>
      <c r="K9" s="183" t="s">
        <v>111</v>
      </c>
      <c r="L9" s="183" t="s">
        <v>430</v>
      </c>
      <c r="M9" s="368" t="s">
        <v>16</v>
      </c>
      <c r="N9" s="368" t="s">
        <v>653</v>
      </c>
      <c r="O9" s="368" t="s">
        <v>654</v>
      </c>
      <c r="P9" s="368" t="s">
        <v>563</v>
      </c>
      <c r="Q9" s="368" t="s">
        <v>564</v>
      </c>
      <c r="R9" s="368" t="s">
        <v>565</v>
      </c>
      <c r="S9" s="452" t="s">
        <v>725</v>
      </c>
      <c r="T9" s="452" t="s">
        <v>726</v>
      </c>
    </row>
    <row r="10" spans="1:20" s="360" customFormat="1">
      <c r="A10" s="183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3">
        <v>11</v>
      </c>
      <c r="L10" s="183">
        <v>12</v>
      </c>
      <c r="M10" s="368">
        <v>13</v>
      </c>
      <c r="N10" s="368">
        <v>14</v>
      </c>
      <c r="O10" s="368">
        <v>15</v>
      </c>
      <c r="P10" s="368">
        <v>16</v>
      </c>
      <c r="Q10" s="368">
        <v>17</v>
      </c>
      <c r="R10" s="368">
        <v>18</v>
      </c>
      <c r="S10" s="494">
        <v>19</v>
      </c>
      <c r="T10" s="494">
        <v>20</v>
      </c>
    </row>
    <row r="11" spans="1:20" s="360" customFormat="1">
      <c r="A11" s="204">
        <v>1</v>
      </c>
      <c r="B11" s="204" t="s">
        <v>624</v>
      </c>
      <c r="C11" s="326">
        <v>15772</v>
      </c>
      <c r="D11" s="326">
        <v>167</v>
      </c>
      <c r="E11" s="326">
        <v>0</v>
      </c>
      <c r="F11" s="326">
        <v>329</v>
      </c>
      <c r="G11" s="326">
        <f>SUM(C11:F11)</f>
        <v>16268</v>
      </c>
      <c r="H11" s="327">
        <v>216</v>
      </c>
      <c r="I11" s="328">
        <f>SUM(J11:L11)</f>
        <v>527.08319999999992</v>
      </c>
      <c r="J11" s="328">
        <f>G11*H11*0.00015</f>
        <v>527.08319999999992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417">
        <v>111.3</v>
      </c>
      <c r="T11" s="498">
        <f>I11*S11*10/100000</f>
        <v>5.8664360159999998</v>
      </c>
    </row>
    <row r="12" spans="1:20" s="360" customFormat="1">
      <c r="A12" s="204">
        <f>A11+1</f>
        <v>2</v>
      </c>
      <c r="B12" s="204" t="s">
        <v>589</v>
      </c>
      <c r="C12" s="326">
        <v>15342</v>
      </c>
      <c r="D12" s="326">
        <v>1673</v>
      </c>
      <c r="E12" s="326">
        <v>0</v>
      </c>
      <c r="F12" s="326">
        <v>0</v>
      </c>
      <c r="G12" s="326">
        <f t="shared" ref="G12:G43" si="0">SUM(C12:F12)</f>
        <v>17015</v>
      </c>
      <c r="H12" s="327">
        <v>216</v>
      </c>
      <c r="I12" s="328">
        <f t="shared" ref="I12:I43" si="1">SUM(J12:L12)</f>
        <v>551.28599999999994</v>
      </c>
      <c r="J12" s="328">
        <f t="shared" ref="J12:J43" si="2">G12*H12*0.00015</f>
        <v>551.28599999999994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417">
        <v>111.3</v>
      </c>
      <c r="T12" s="498">
        <f t="shared" ref="T12:T43" si="3">I12*S12*10/100000</f>
        <v>6.1358131799999995</v>
      </c>
    </row>
    <row r="13" spans="1:20" s="360" customFormat="1">
      <c r="A13" s="204">
        <f t="shared" ref="A13:A43" si="4">A12+1</f>
        <v>3</v>
      </c>
      <c r="B13" s="204" t="s">
        <v>625</v>
      </c>
      <c r="C13" s="326">
        <v>32117</v>
      </c>
      <c r="D13" s="326">
        <v>12142</v>
      </c>
      <c r="E13" s="326">
        <v>0</v>
      </c>
      <c r="F13" s="326">
        <v>44</v>
      </c>
      <c r="G13" s="326">
        <f t="shared" si="0"/>
        <v>44303</v>
      </c>
      <c r="H13" s="327">
        <v>216</v>
      </c>
      <c r="I13" s="328">
        <f t="shared" si="1"/>
        <v>1435.4171999999999</v>
      </c>
      <c r="J13" s="328">
        <f t="shared" si="2"/>
        <v>1435.4171999999999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417">
        <v>111.3</v>
      </c>
      <c r="T13" s="498">
        <f t="shared" si="3"/>
        <v>15.976193435999997</v>
      </c>
    </row>
    <row r="14" spans="1:20" s="360" customFormat="1">
      <c r="A14" s="204">
        <f t="shared" si="4"/>
        <v>4</v>
      </c>
      <c r="B14" s="204" t="s">
        <v>590</v>
      </c>
      <c r="C14" s="326">
        <v>18819</v>
      </c>
      <c r="D14" s="326">
        <v>9</v>
      </c>
      <c r="E14" s="326">
        <v>0</v>
      </c>
      <c r="F14" s="326">
        <v>0</v>
      </c>
      <c r="G14" s="326">
        <f t="shared" si="0"/>
        <v>18828</v>
      </c>
      <c r="H14" s="327">
        <v>216</v>
      </c>
      <c r="I14" s="328">
        <f t="shared" si="1"/>
        <v>610.02719999999999</v>
      </c>
      <c r="J14" s="328">
        <f t="shared" si="2"/>
        <v>610.02719999999999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417">
        <v>111.3</v>
      </c>
      <c r="T14" s="498">
        <f t="shared" si="3"/>
        <v>6.789602736</v>
      </c>
    </row>
    <row r="15" spans="1:20" s="360" customFormat="1">
      <c r="A15" s="204">
        <f t="shared" si="4"/>
        <v>5</v>
      </c>
      <c r="B15" s="204" t="s">
        <v>591</v>
      </c>
      <c r="C15" s="326">
        <v>12249</v>
      </c>
      <c r="D15" s="326">
        <v>94</v>
      </c>
      <c r="E15" s="326">
        <v>0</v>
      </c>
      <c r="F15" s="326">
        <v>0</v>
      </c>
      <c r="G15" s="326">
        <f t="shared" si="0"/>
        <v>12343</v>
      </c>
      <c r="H15" s="327">
        <v>216</v>
      </c>
      <c r="I15" s="328">
        <f t="shared" si="1"/>
        <v>399.91319999999996</v>
      </c>
      <c r="J15" s="328">
        <f t="shared" si="2"/>
        <v>399.91319999999996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417">
        <v>111.3</v>
      </c>
      <c r="T15" s="498">
        <f t="shared" si="3"/>
        <v>4.4510339160000001</v>
      </c>
    </row>
    <row r="16" spans="1:20" s="360" customFormat="1">
      <c r="A16" s="204">
        <f t="shared" si="4"/>
        <v>6</v>
      </c>
      <c r="B16" s="204" t="s">
        <v>592</v>
      </c>
      <c r="C16" s="326">
        <v>6205</v>
      </c>
      <c r="D16" s="326">
        <v>0</v>
      </c>
      <c r="E16" s="326">
        <v>0</v>
      </c>
      <c r="F16" s="326">
        <v>0</v>
      </c>
      <c r="G16" s="326">
        <f t="shared" si="0"/>
        <v>6205</v>
      </c>
      <c r="H16" s="327">
        <v>216</v>
      </c>
      <c r="I16" s="328">
        <f t="shared" si="1"/>
        <v>201.04199999999997</v>
      </c>
      <c r="J16" s="328">
        <f t="shared" si="2"/>
        <v>201.04199999999997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417">
        <v>111.3</v>
      </c>
      <c r="T16" s="498">
        <f t="shared" si="3"/>
        <v>2.2375974599999999</v>
      </c>
    </row>
    <row r="17" spans="1:20" s="360" customFormat="1">
      <c r="A17" s="204">
        <f t="shared" si="4"/>
        <v>7</v>
      </c>
      <c r="B17" s="204" t="s">
        <v>593</v>
      </c>
      <c r="C17" s="326">
        <v>17681</v>
      </c>
      <c r="D17" s="326">
        <v>75</v>
      </c>
      <c r="E17" s="326">
        <v>0</v>
      </c>
      <c r="F17" s="326">
        <v>120</v>
      </c>
      <c r="G17" s="326">
        <f t="shared" si="0"/>
        <v>17876</v>
      </c>
      <c r="H17" s="327">
        <v>216</v>
      </c>
      <c r="I17" s="328">
        <f t="shared" si="1"/>
        <v>579.18239999999992</v>
      </c>
      <c r="J17" s="328">
        <f t="shared" si="2"/>
        <v>579.18239999999992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417">
        <v>111.3</v>
      </c>
      <c r="T17" s="498">
        <f t="shared" si="3"/>
        <v>6.4463001119999985</v>
      </c>
    </row>
    <row r="18" spans="1:20" s="360" customFormat="1">
      <c r="A18" s="204">
        <f t="shared" si="4"/>
        <v>8</v>
      </c>
      <c r="B18" s="204" t="s">
        <v>594</v>
      </c>
      <c r="C18" s="326">
        <v>24106</v>
      </c>
      <c r="D18" s="326">
        <v>167</v>
      </c>
      <c r="E18" s="326">
        <v>0</v>
      </c>
      <c r="F18" s="326">
        <v>0</v>
      </c>
      <c r="G18" s="326">
        <f t="shared" si="0"/>
        <v>24273</v>
      </c>
      <c r="H18" s="327">
        <v>216</v>
      </c>
      <c r="I18" s="328">
        <f t="shared" si="1"/>
        <v>786.44519999999989</v>
      </c>
      <c r="J18" s="328">
        <f t="shared" si="2"/>
        <v>786.44519999999989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417">
        <v>111.3</v>
      </c>
      <c r="T18" s="498">
        <f t="shared" si="3"/>
        <v>8.7531350759999995</v>
      </c>
    </row>
    <row r="19" spans="1:20" s="360" customFormat="1">
      <c r="A19" s="204">
        <f t="shared" si="4"/>
        <v>9</v>
      </c>
      <c r="B19" s="204" t="s">
        <v>595</v>
      </c>
      <c r="C19" s="326">
        <v>13812</v>
      </c>
      <c r="D19" s="326">
        <v>627</v>
      </c>
      <c r="E19" s="326">
        <v>0</v>
      </c>
      <c r="F19" s="326">
        <v>0</v>
      </c>
      <c r="G19" s="326">
        <f t="shared" si="0"/>
        <v>14439</v>
      </c>
      <c r="H19" s="327">
        <v>216</v>
      </c>
      <c r="I19" s="328">
        <f t="shared" si="1"/>
        <v>467.82359999999994</v>
      </c>
      <c r="J19" s="328">
        <f t="shared" si="2"/>
        <v>467.82359999999994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417">
        <v>111.3</v>
      </c>
      <c r="T19" s="498">
        <f t="shared" si="3"/>
        <v>5.2068766679999996</v>
      </c>
    </row>
    <row r="20" spans="1:20" s="360" customFormat="1">
      <c r="A20" s="204">
        <f t="shared" si="4"/>
        <v>10</v>
      </c>
      <c r="B20" s="204" t="s">
        <v>596</v>
      </c>
      <c r="C20" s="326">
        <v>24062</v>
      </c>
      <c r="D20" s="326">
        <v>998</v>
      </c>
      <c r="E20" s="326">
        <v>0</v>
      </c>
      <c r="F20" s="326">
        <v>0</v>
      </c>
      <c r="G20" s="326">
        <f t="shared" si="0"/>
        <v>25060</v>
      </c>
      <c r="H20" s="327">
        <v>216</v>
      </c>
      <c r="I20" s="328">
        <f t="shared" si="1"/>
        <v>811.94399999999996</v>
      </c>
      <c r="J20" s="328">
        <f t="shared" si="2"/>
        <v>811.94399999999996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417">
        <v>111.3</v>
      </c>
      <c r="T20" s="498">
        <f t="shared" si="3"/>
        <v>9.0369367199999999</v>
      </c>
    </row>
    <row r="21" spans="1:20" s="360" customFormat="1">
      <c r="A21" s="204">
        <f t="shared" si="4"/>
        <v>11</v>
      </c>
      <c r="B21" s="204" t="s">
        <v>626</v>
      </c>
      <c r="C21" s="326">
        <v>10205</v>
      </c>
      <c r="D21" s="326">
        <v>342</v>
      </c>
      <c r="E21" s="326">
        <v>0</v>
      </c>
      <c r="F21" s="326">
        <v>59</v>
      </c>
      <c r="G21" s="326">
        <f t="shared" si="0"/>
        <v>10606</v>
      </c>
      <c r="H21" s="327">
        <v>216</v>
      </c>
      <c r="I21" s="328">
        <f t="shared" si="1"/>
        <v>343.63439999999997</v>
      </c>
      <c r="J21" s="328">
        <f t="shared" si="2"/>
        <v>343.63439999999997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417">
        <v>111.3</v>
      </c>
      <c r="T21" s="498">
        <f t="shared" si="3"/>
        <v>3.8246508719999994</v>
      </c>
    </row>
    <row r="22" spans="1:20" s="360" customFormat="1">
      <c r="A22" s="204">
        <f t="shared" si="4"/>
        <v>12</v>
      </c>
      <c r="B22" s="204" t="s">
        <v>597</v>
      </c>
      <c r="C22" s="326">
        <v>13406</v>
      </c>
      <c r="D22" s="326">
        <v>34</v>
      </c>
      <c r="E22" s="326">
        <v>0</v>
      </c>
      <c r="F22" s="326">
        <v>48</v>
      </c>
      <c r="G22" s="326">
        <f t="shared" si="0"/>
        <v>13488</v>
      </c>
      <c r="H22" s="327">
        <v>216</v>
      </c>
      <c r="I22" s="328">
        <f t="shared" si="1"/>
        <v>437.01119999999997</v>
      </c>
      <c r="J22" s="328">
        <f t="shared" si="2"/>
        <v>437.01119999999997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417">
        <v>111.3</v>
      </c>
      <c r="T22" s="498">
        <f t="shared" si="3"/>
        <v>4.8639346559999996</v>
      </c>
    </row>
    <row r="23" spans="1:20" s="360" customFormat="1">
      <c r="A23" s="204">
        <f t="shared" si="4"/>
        <v>13</v>
      </c>
      <c r="B23" s="204" t="s">
        <v>598</v>
      </c>
      <c r="C23" s="326">
        <v>23075</v>
      </c>
      <c r="D23" s="326">
        <v>706</v>
      </c>
      <c r="E23" s="326">
        <v>0</v>
      </c>
      <c r="F23" s="326">
        <v>65</v>
      </c>
      <c r="G23" s="326">
        <f t="shared" si="0"/>
        <v>23846</v>
      </c>
      <c r="H23" s="327">
        <v>216</v>
      </c>
      <c r="I23" s="328">
        <f t="shared" si="1"/>
        <v>772.61039999999991</v>
      </c>
      <c r="J23" s="328">
        <f t="shared" si="2"/>
        <v>772.61039999999991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417">
        <v>111.3</v>
      </c>
      <c r="T23" s="498">
        <f t="shared" si="3"/>
        <v>8.5991537519999994</v>
      </c>
    </row>
    <row r="24" spans="1:20" s="360" customFormat="1">
      <c r="A24" s="204">
        <f t="shared" si="4"/>
        <v>14</v>
      </c>
      <c r="B24" s="204" t="s">
        <v>627</v>
      </c>
      <c r="C24" s="326">
        <v>14294</v>
      </c>
      <c r="D24" s="326">
        <v>1123</v>
      </c>
      <c r="E24" s="326">
        <v>0</v>
      </c>
      <c r="F24" s="326">
        <v>0</v>
      </c>
      <c r="G24" s="326">
        <f t="shared" si="0"/>
        <v>15417</v>
      </c>
      <c r="H24" s="327">
        <v>216</v>
      </c>
      <c r="I24" s="328">
        <f t="shared" si="1"/>
        <v>499.51079999999996</v>
      </c>
      <c r="J24" s="328">
        <f t="shared" si="2"/>
        <v>499.51079999999996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417">
        <v>111.3</v>
      </c>
      <c r="T24" s="498">
        <f t="shared" si="3"/>
        <v>5.5595552039999996</v>
      </c>
    </row>
    <row r="25" spans="1:20" s="360" customFormat="1">
      <c r="A25" s="204">
        <f t="shared" si="4"/>
        <v>15</v>
      </c>
      <c r="B25" s="204" t="s">
        <v>599</v>
      </c>
      <c r="C25" s="326">
        <v>24296</v>
      </c>
      <c r="D25" s="326">
        <v>102</v>
      </c>
      <c r="E25" s="326">
        <v>0</v>
      </c>
      <c r="F25" s="326">
        <v>0</v>
      </c>
      <c r="G25" s="326">
        <f t="shared" si="0"/>
        <v>24398</v>
      </c>
      <c r="H25" s="327">
        <v>216</v>
      </c>
      <c r="I25" s="328">
        <f t="shared" si="1"/>
        <v>790.49519999999995</v>
      </c>
      <c r="J25" s="328">
        <f t="shared" si="2"/>
        <v>790.49519999999995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417">
        <v>111.3</v>
      </c>
      <c r="T25" s="498">
        <f t="shared" si="3"/>
        <v>8.7982115759999981</v>
      </c>
    </row>
    <row r="26" spans="1:20">
      <c r="A26" s="204">
        <f t="shared" si="4"/>
        <v>16</v>
      </c>
      <c r="B26" s="204" t="s">
        <v>600</v>
      </c>
      <c r="C26" s="326">
        <v>25426</v>
      </c>
      <c r="D26" s="326">
        <v>187</v>
      </c>
      <c r="E26" s="326">
        <v>0</v>
      </c>
      <c r="F26" s="326">
        <v>196</v>
      </c>
      <c r="G26" s="326">
        <f t="shared" si="0"/>
        <v>25809</v>
      </c>
      <c r="H26" s="327">
        <v>216</v>
      </c>
      <c r="I26" s="328">
        <f t="shared" si="1"/>
        <v>836.21159999999998</v>
      </c>
      <c r="J26" s="328">
        <f t="shared" si="2"/>
        <v>836.21159999999998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417">
        <v>111.3</v>
      </c>
      <c r="T26" s="498">
        <f t="shared" si="3"/>
        <v>9.3070351079999991</v>
      </c>
    </row>
    <row r="27" spans="1:20">
      <c r="A27" s="204">
        <f t="shared" si="4"/>
        <v>17</v>
      </c>
      <c r="B27" s="426" t="s">
        <v>684</v>
      </c>
      <c r="C27" s="326">
        <v>4321</v>
      </c>
      <c r="D27" s="326">
        <v>0</v>
      </c>
      <c r="E27" s="326">
        <v>0</v>
      </c>
      <c r="F27" s="326">
        <v>0</v>
      </c>
      <c r="G27" s="326">
        <f t="shared" si="0"/>
        <v>4321</v>
      </c>
      <c r="H27" s="327">
        <v>216</v>
      </c>
      <c r="I27" s="328">
        <f t="shared" si="1"/>
        <v>140.00039999999998</v>
      </c>
      <c r="J27" s="328">
        <f t="shared" si="2"/>
        <v>140.00039999999998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417">
        <v>111.3</v>
      </c>
      <c r="T27" s="498">
        <f t="shared" si="3"/>
        <v>1.5582044519999998</v>
      </c>
    </row>
    <row r="28" spans="1:20">
      <c r="A28" s="204">
        <f>A27+1</f>
        <v>18</v>
      </c>
      <c r="B28" s="204" t="s">
        <v>601</v>
      </c>
      <c r="C28" s="326">
        <v>19017</v>
      </c>
      <c r="D28" s="326">
        <v>219</v>
      </c>
      <c r="E28" s="326">
        <v>0</v>
      </c>
      <c r="F28" s="326">
        <v>0</v>
      </c>
      <c r="G28" s="326">
        <f t="shared" si="0"/>
        <v>19236</v>
      </c>
      <c r="H28" s="327">
        <v>216</v>
      </c>
      <c r="I28" s="328">
        <f t="shared" si="1"/>
        <v>623.24639999999999</v>
      </c>
      <c r="J28" s="328">
        <f t="shared" si="2"/>
        <v>623.24639999999999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417">
        <v>111.3</v>
      </c>
      <c r="T28" s="498">
        <f t="shared" si="3"/>
        <v>6.9367324320000003</v>
      </c>
    </row>
    <row r="29" spans="1:20">
      <c r="A29" s="204">
        <f t="shared" si="4"/>
        <v>19</v>
      </c>
      <c r="B29" s="204" t="s">
        <v>602</v>
      </c>
      <c r="C29" s="326">
        <v>29256</v>
      </c>
      <c r="D29" s="326">
        <v>2348</v>
      </c>
      <c r="E29" s="326">
        <v>0</v>
      </c>
      <c r="F29" s="326">
        <v>41</v>
      </c>
      <c r="G29" s="326">
        <f t="shared" si="0"/>
        <v>31645</v>
      </c>
      <c r="H29" s="327">
        <v>216</v>
      </c>
      <c r="I29" s="328">
        <f t="shared" si="1"/>
        <v>1025.298</v>
      </c>
      <c r="J29" s="328">
        <f t="shared" si="2"/>
        <v>1025.298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417">
        <v>111.3</v>
      </c>
      <c r="T29" s="498">
        <f t="shared" si="3"/>
        <v>11.41156674</v>
      </c>
    </row>
    <row r="30" spans="1:20">
      <c r="A30" s="204">
        <f t="shared" si="4"/>
        <v>20</v>
      </c>
      <c r="B30" s="426" t="s">
        <v>683</v>
      </c>
      <c r="C30" s="326">
        <v>18100</v>
      </c>
      <c r="D30" s="326">
        <v>270</v>
      </c>
      <c r="E30" s="326">
        <v>0</v>
      </c>
      <c r="F30" s="326">
        <v>25</v>
      </c>
      <c r="G30" s="326">
        <f t="shared" si="0"/>
        <v>18395</v>
      </c>
      <c r="H30" s="327">
        <v>216</v>
      </c>
      <c r="I30" s="328">
        <f t="shared" si="1"/>
        <v>595.99799999999993</v>
      </c>
      <c r="J30" s="328">
        <f t="shared" si="2"/>
        <v>595.99799999999993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417">
        <v>111.3</v>
      </c>
      <c r="T30" s="498">
        <f t="shared" si="3"/>
        <v>6.6334577399999999</v>
      </c>
    </row>
    <row r="31" spans="1:20">
      <c r="A31" s="204">
        <f t="shared" si="4"/>
        <v>21</v>
      </c>
      <c r="B31" s="204" t="s">
        <v>628</v>
      </c>
      <c r="C31" s="326">
        <v>13770</v>
      </c>
      <c r="D31" s="326">
        <v>140</v>
      </c>
      <c r="E31" s="326">
        <v>0</v>
      </c>
      <c r="F31" s="326">
        <v>280</v>
      </c>
      <c r="G31" s="326">
        <f t="shared" si="0"/>
        <v>14190</v>
      </c>
      <c r="H31" s="327">
        <v>216</v>
      </c>
      <c r="I31" s="328">
        <f t="shared" si="1"/>
        <v>459.75599999999997</v>
      </c>
      <c r="J31" s="328">
        <f t="shared" si="2"/>
        <v>459.75599999999997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417">
        <v>111.3</v>
      </c>
      <c r="T31" s="498">
        <f t="shared" si="3"/>
        <v>5.1170842799999994</v>
      </c>
    </row>
    <row r="32" spans="1:20">
      <c r="A32" s="204">
        <f t="shared" si="4"/>
        <v>22</v>
      </c>
      <c r="B32" s="204" t="s">
        <v>603</v>
      </c>
      <c r="C32" s="326">
        <v>29139</v>
      </c>
      <c r="D32" s="326">
        <v>2556</v>
      </c>
      <c r="E32" s="326">
        <v>0</v>
      </c>
      <c r="F32" s="326">
        <v>0</v>
      </c>
      <c r="G32" s="326">
        <f t="shared" si="0"/>
        <v>31695</v>
      </c>
      <c r="H32" s="327">
        <v>216</v>
      </c>
      <c r="I32" s="328">
        <f t="shared" si="1"/>
        <v>1026.9179999999999</v>
      </c>
      <c r="J32" s="328">
        <f t="shared" si="2"/>
        <v>1026.9179999999999</v>
      </c>
      <c r="K32" s="328">
        <v>0</v>
      </c>
      <c r="L32" s="328">
        <v>0</v>
      </c>
      <c r="M32" s="328">
        <v>0</v>
      </c>
      <c r="N32" s="328">
        <v>0</v>
      </c>
      <c r="O32" s="328">
        <v>0</v>
      </c>
      <c r="P32" s="328">
        <v>0</v>
      </c>
      <c r="Q32" s="328">
        <v>0</v>
      </c>
      <c r="R32" s="328">
        <v>0</v>
      </c>
      <c r="S32" s="417">
        <v>111.3</v>
      </c>
      <c r="T32" s="498">
        <f t="shared" si="3"/>
        <v>11.429597339999999</v>
      </c>
    </row>
    <row r="33" spans="1:20">
      <c r="A33" s="204">
        <f t="shared" si="4"/>
        <v>23</v>
      </c>
      <c r="B33" s="204" t="s">
        <v>604</v>
      </c>
      <c r="C33" s="326">
        <v>10779</v>
      </c>
      <c r="D33" s="326">
        <v>361</v>
      </c>
      <c r="E33" s="326">
        <v>0</v>
      </c>
      <c r="F33" s="326">
        <v>0</v>
      </c>
      <c r="G33" s="326">
        <f t="shared" si="0"/>
        <v>11140</v>
      </c>
      <c r="H33" s="327">
        <v>216</v>
      </c>
      <c r="I33" s="328">
        <f t="shared" si="1"/>
        <v>360.93599999999998</v>
      </c>
      <c r="J33" s="328">
        <f t="shared" si="2"/>
        <v>360.93599999999998</v>
      </c>
      <c r="K33" s="328">
        <v>0</v>
      </c>
      <c r="L33" s="328">
        <v>0</v>
      </c>
      <c r="M33" s="328">
        <v>0</v>
      </c>
      <c r="N33" s="328">
        <v>0</v>
      </c>
      <c r="O33" s="328">
        <v>0</v>
      </c>
      <c r="P33" s="328">
        <v>0</v>
      </c>
      <c r="Q33" s="328">
        <v>0</v>
      </c>
      <c r="R33" s="328">
        <v>0</v>
      </c>
      <c r="S33" s="417">
        <v>111.3</v>
      </c>
      <c r="T33" s="498">
        <f t="shared" si="3"/>
        <v>4.017217679999999</v>
      </c>
    </row>
    <row r="34" spans="1:20">
      <c r="A34" s="204">
        <f t="shared" si="4"/>
        <v>24</v>
      </c>
      <c r="B34" s="204" t="s">
        <v>605</v>
      </c>
      <c r="C34" s="326">
        <v>10332</v>
      </c>
      <c r="D34" s="326">
        <v>141</v>
      </c>
      <c r="E34" s="326">
        <v>0</v>
      </c>
      <c r="F34" s="326">
        <v>0</v>
      </c>
      <c r="G34" s="326">
        <f t="shared" si="0"/>
        <v>10473</v>
      </c>
      <c r="H34" s="327">
        <v>216</v>
      </c>
      <c r="I34" s="328">
        <f t="shared" si="1"/>
        <v>339.3252</v>
      </c>
      <c r="J34" s="328">
        <f t="shared" si="2"/>
        <v>339.3252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8">
        <v>0</v>
      </c>
      <c r="R34" s="328">
        <v>0</v>
      </c>
      <c r="S34" s="417">
        <v>111.3</v>
      </c>
      <c r="T34" s="498">
        <f t="shared" si="3"/>
        <v>3.7766894759999996</v>
      </c>
    </row>
    <row r="35" spans="1:20">
      <c r="A35" s="204">
        <f t="shared" si="4"/>
        <v>25</v>
      </c>
      <c r="B35" s="204" t="s">
        <v>606</v>
      </c>
      <c r="C35" s="326">
        <v>45901</v>
      </c>
      <c r="D35" s="326">
        <v>652</v>
      </c>
      <c r="E35" s="326">
        <v>0</v>
      </c>
      <c r="F35" s="326">
        <v>315</v>
      </c>
      <c r="G35" s="326">
        <f t="shared" si="0"/>
        <v>46868</v>
      </c>
      <c r="H35" s="327">
        <v>216</v>
      </c>
      <c r="I35" s="328">
        <f t="shared" si="1"/>
        <v>1518.5231999999999</v>
      </c>
      <c r="J35" s="328">
        <f t="shared" si="2"/>
        <v>1518.5231999999999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8">
        <v>0</v>
      </c>
      <c r="R35" s="328">
        <v>0</v>
      </c>
      <c r="S35" s="417">
        <v>111.3</v>
      </c>
      <c r="T35" s="498">
        <f t="shared" si="3"/>
        <v>16.901163216</v>
      </c>
    </row>
    <row r="36" spans="1:20">
      <c r="A36" s="204">
        <f t="shared" si="4"/>
        <v>26</v>
      </c>
      <c r="B36" s="204" t="s">
        <v>607</v>
      </c>
      <c r="C36" s="326">
        <v>34683</v>
      </c>
      <c r="D36" s="326">
        <v>345</v>
      </c>
      <c r="E36" s="326">
        <v>0</v>
      </c>
      <c r="F36" s="326">
        <v>0</v>
      </c>
      <c r="G36" s="326">
        <f t="shared" si="0"/>
        <v>35028</v>
      </c>
      <c r="H36" s="327">
        <v>216</v>
      </c>
      <c r="I36" s="328">
        <f t="shared" si="1"/>
        <v>1134.9071999999999</v>
      </c>
      <c r="J36" s="328">
        <f t="shared" si="2"/>
        <v>1134.9071999999999</v>
      </c>
      <c r="K36" s="328">
        <v>0</v>
      </c>
      <c r="L36" s="328">
        <v>0</v>
      </c>
      <c r="M36" s="328">
        <v>0</v>
      </c>
      <c r="N36" s="328">
        <v>0</v>
      </c>
      <c r="O36" s="328">
        <v>0</v>
      </c>
      <c r="P36" s="328">
        <v>0</v>
      </c>
      <c r="Q36" s="328">
        <v>0</v>
      </c>
      <c r="R36" s="328">
        <v>0</v>
      </c>
      <c r="S36" s="417">
        <v>111.3</v>
      </c>
      <c r="T36" s="498">
        <f t="shared" si="3"/>
        <v>12.631517135999999</v>
      </c>
    </row>
    <row r="37" spans="1:20">
      <c r="A37" s="204">
        <f t="shared" si="4"/>
        <v>27</v>
      </c>
      <c r="B37" s="204" t="s">
        <v>608</v>
      </c>
      <c r="C37" s="326">
        <v>26182</v>
      </c>
      <c r="D37" s="326">
        <v>52</v>
      </c>
      <c r="E37" s="326">
        <v>0</v>
      </c>
      <c r="F37" s="326">
        <v>67</v>
      </c>
      <c r="G37" s="326">
        <f t="shared" si="0"/>
        <v>26301</v>
      </c>
      <c r="H37" s="327">
        <v>216</v>
      </c>
      <c r="I37" s="328">
        <f t="shared" si="1"/>
        <v>852.15239999999994</v>
      </c>
      <c r="J37" s="328">
        <f t="shared" si="2"/>
        <v>852.15239999999994</v>
      </c>
      <c r="K37" s="328">
        <v>0</v>
      </c>
      <c r="L37" s="328">
        <v>0</v>
      </c>
      <c r="M37" s="328">
        <v>0</v>
      </c>
      <c r="N37" s="328">
        <v>0</v>
      </c>
      <c r="O37" s="328">
        <v>0</v>
      </c>
      <c r="P37" s="328">
        <v>0</v>
      </c>
      <c r="Q37" s="328">
        <v>0</v>
      </c>
      <c r="R37" s="328">
        <v>0</v>
      </c>
      <c r="S37" s="417">
        <v>111.3</v>
      </c>
      <c r="T37" s="498">
        <f t="shared" si="3"/>
        <v>9.4844562119999996</v>
      </c>
    </row>
    <row r="38" spans="1:20">
      <c r="A38" s="204">
        <f t="shared" si="4"/>
        <v>28</v>
      </c>
      <c r="B38" s="204" t="s">
        <v>609</v>
      </c>
      <c r="C38" s="326">
        <v>17367</v>
      </c>
      <c r="D38" s="326">
        <v>723</v>
      </c>
      <c r="E38" s="326">
        <v>0</v>
      </c>
      <c r="F38" s="326">
        <v>87</v>
      </c>
      <c r="G38" s="326">
        <f t="shared" si="0"/>
        <v>18177</v>
      </c>
      <c r="H38" s="327">
        <v>216</v>
      </c>
      <c r="I38" s="328">
        <f t="shared" si="1"/>
        <v>588.9348</v>
      </c>
      <c r="J38" s="328">
        <f t="shared" si="2"/>
        <v>588.9348</v>
      </c>
      <c r="K38" s="328">
        <v>0</v>
      </c>
      <c r="L38" s="328">
        <v>0</v>
      </c>
      <c r="M38" s="328">
        <v>0</v>
      </c>
      <c r="N38" s="328">
        <v>0</v>
      </c>
      <c r="O38" s="328">
        <v>0</v>
      </c>
      <c r="P38" s="328">
        <v>0</v>
      </c>
      <c r="Q38" s="328">
        <v>0</v>
      </c>
      <c r="R38" s="328">
        <v>0</v>
      </c>
      <c r="S38" s="417">
        <v>111.3</v>
      </c>
      <c r="T38" s="498">
        <f t="shared" si="3"/>
        <v>6.5548443239999994</v>
      </c>
    </row>
    <row r="39" spans="1:20">
      <c r="A39" s="204">
        <f t="shared" si="4"/>
        <v>29</v>
      </c>
      <c r="B39" s="204" t="s">
        <v>610</v>
      </c>
      <c r="C39" s="326">
        <v>27090</v>
      </c>
      <c r="D39" s="326">
        <v>1071</v>
      </c>
      <c r="E39" s="326">
        <v>0</v>
      </c>
      <c r="F39" s="326">
        <v>32</v>
      </c>
      <c r="G39" s="326">
        <f t="shared" si="0"/>
        <v>28193</v>
      </c>
      <c r="H39" s="327">
        <v>216</v>
      </c>
      <c r="I39" s="328">
        <f t="shared" si="1"/>
        <v>913.45319999999992</v>
      </c>
      <c r="J39" s="328">
        <f t="shared" si="2"/>
        <v>913.45319999999992</v>
      </c>
      <c r="K39" s="328">
        <v>0</v>
      </c>
      <c r="L39" s="328">
        <v>0</v>
      </c>
      <c r="M39" s="328">
        <v>0</v>
      </c>
      <c r="N39" s="328">
        <v>0</v>
      </c>
      <c r="O39" s="328">
        <v>0</v>
      </c>
      <c r="P39" s="328">
        <v>0</v>
      </c>
      <c r="Q39" s="328">
        <v>0</v>
      </c>
      <c r="R39" s="328">
        <v>0</v>
      </c>
      <c r="S39" s="417">
        <v>111.3</v>
      </c>
      <c r="T39" s="498">
        <f t="shared" si="3"/>
        <v>10.166734115999997</v>
      </c>
    </row>
    <row r="40" spans="1:20">
      <c r="A40" s="204">
        <f t="shared" si="4"/>
        <v>30</v>
      </c>
      <c r="B40" s="143" t="s">
        <v>611</v>
      </c>
      <c r="C40" s="326">
        <v>13459</v>
      </c>
      <c r="D40" s="326">
        <v>13</v>
      </c>
      <c r="E40" s="326">
        <v>0</v>
      </c>
      <c r="F40" s="326">
        <v>0</v>
      </c>
      <c r="G40" s="326">
        <f t="shared" si="0"/>
        <v>13472</v>
      </c>
      <c r="H40" s="327">
        <v>216</v>
      </c>
      <c r="I40" s="328">
        <f t="shared" si="1"/>
        <v>436.49279999999999</v>
      </c>
      <c r="J40" s="328">
        <f t="shared" si="2"/>
        <v>436.49279999999999</v>
      </c>
      <c r="K40" s="328">
        <v>0</v>
      </c>
      <c r="L40" s="328">
        <v>0</v>
      </c>
      <c r="M40" s="328">
        <v>0</v>
      </c>
      <c r="N40" s="328">
        <v>0</v>
      </c>
      <c r="O40" s="328">
        <v>0</v>
      </c>
      <c r="P40" s="328">
        <v>0</v>
      </c>
      <c r="Q40" s="328">
        <v>0</v>
      </c>
      <c r="R40" s="328">
        <v>0</v>
      </c>
      <c r="S40" s="417">
        <v>111.3</v>
      </c>
      <c r="T40" s="498">
        <f t="shared" si="3"/>
        <v>4.8581648639999999</v>
      </c>
    </row>
    <row r="41" spans="1:20">
      <c r="A41" s="204">
        <f t="shared" si="4"/>
        <v>31</v>
      </c>
      <c r="B41" s="143" t="s">
        <v>612</v>
      </c>
      <c r="C41" s="326">
        <v>10170</v>
      </c>
      <c r="D41" s="326">
        <v>24</v>
      </c>
      <c r="E41" s="326">
        <v>0</v>
      </c>
      <c r="F41" s="326">
        <v>0</v>
      </c>
      <c r="G41" s="326">
        <f t="shared" si="0"/>
        <v>10194</v>
      </c>
      <c r="H41" s="327">
        <v>216</v>
      </c>
      <c r="I41" s="328">
        <f t="shared" si="1"/>
        <v>330.28559999999999</v>
      </c>
      <c r="J41" s="328">
        <f t="shared" si="2"/>
        <v>330.28559999999999</v>
      </c>
      <c r="K41" s="328">
        <v>0</v>
      </c>
      <c r="L41" s="328">
        <v>0</v>
      </c>
      <c r="M41" s="328">
        <v>0</v>
      </c>
      <c r="N41" s="328">
        <v>0</v>
      </c>
      <c r="O41" s="328">
        <v>0</v>
      </c>
      <c r="P41" s="328">
        <v>0</v>
      </c>
      <c r="Q41" s="328">
        <v>0</v>
      </c>
      <c r="R41" s="328">
        <v>0</v>
      </c>
      <c r="S41" s="417">
        <v>111.3</v>
      </c>
      <c r="T41" s="498">
        <f t="shared" si="3"/>
        <v>3.6760787279999994</v>
      </c>
    </row>
    <row r="42" spans="1:20">
      <c r="A42" s="204">
        <f t="shared" si="4"/>
        <v>32</v>
      </c>
      <c r="B42" s="143" t="s">
        <v>613</v>
      </c>
      <c r="C42" s="326">
        <v>12566</v>
      </c>
      <c r="D42" s="326">
        <v>1118</v>
      </c>
      <c r="E42" s="326">
        <v>0</v>
      </c>
      <c r="F42" s="326">
        <v>110</v>
      </c>
      <c r="G42" s="326">
        <f t="shared" si="0"/>
        <v>13794</v>
      </c>
      <c r="H42" s="327">
        <v>216</v>
      </c>
      <c r="I42" s="328">
        <f t="shared" si="1"/>
        <v>446.92559999999997</v>
      </c>
      <c r="J42" s="328">
        <f t="shared" si="2"/>
        <v>446.92559999999997</v>
      </c>
      <c r="K42" s="328">
        <v>0</v>
      </c>
      <c r="L42" s="328">
        <v>0</v>
      </c>
      <c r="M42" s="328">
        <v>0</v>
      </c>
      <c r="N42" s="328">
        <v>0</v>
      </c>
      <c r="O42" s="328">
        <v>0</v>
      </c>
      <c r="P42" s="328">
        <v>0</v>
      </c>
      <c r="Q42" s="328">
        <v>0</v>
      </c>
      <c r="R42" s="328">
        <v>0</v>
      </c>
      <c r="S42" s="417">
        <v>111.3</v>
      </c>
      <c r="T42" s="498">
        <f t="shared" si="3"/>
        <v>4.9742819279999999</v>
      </c>
    </row>
    <row r="43" spans="1:20">
      <c r="A43" s="204">
        <f t="shared" si="4"/>
        <v>33</v>
      </c>
      <c r="B43" s="143" t="s">
        <v>614</v>
      </c>
      <c r="C43" s="326">
        <v>15002</v>
      </c>
      <c r="D43" s="326">
        <v>54</v>
      </c>
      <c r="E43" s="326">
        <v>0</v>
      </c>
      <c r="F43" s="326">
        <v>46</v>
      </c>
      <c r="G43" s="326">
        <f t="shared" si="0"/>
        <v>15102</v>
      </c>
      <c r="H43" s="327">
        <v>216</v>
      </c>
      <c r="I43" s="328">
        <f t="shared" si="1"/>
        <v>489.30479999999994</v>
      </c>
      <c r="J43" s="328">
        <f t="shared" si="2"/>
        <v>489.30479999999994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v>0</v>
      </c>
      <c r="Q43" s="328">
        <v>0</v>
      </c>
      <c r="R43" s="328">
        <v>0</v>
      </c>
      <c r="S43" s="417">
        <v>111.3</v>
      </c>
      <c r="T43" s="498">
        <f t="shared" si="3"/>
        <v>5.4459624239999984</v>
      </c>
    </row>
    <row r="44" spans="1:20">
      <c r="A44" s="151"/>
      <c r="B44" s="151" t="s">
        <v>615</v>
      </c>
      <c r="C44" s="199">
        <f>SUM(C11:C43)</f>
        <v>628001</v>
      </c>
      <c r="D44" s="199">
        <f t="shared" ref="D44:R44" si="5">SUM(D11:D43)</f>
        <v>28533</v>
      </c>
      <c r="E44" s="199">
        <f t="shared" si="5"/>
        <v>0</v>
      </c>
      <c r="F44" s="199">
        <f t="shared" si="5"/>
        <v>1864</v>
      </c>
      <c r="G44" s="199">
        <f t="shared" si="5"/>
        <v>658398</v>
      </c>
      <c r="H44" s="199">
        <v>216</v>
      </c>
      <c r="I44" s="329">
        <f t="shared" si="5"/>
        <v>21332.095199999996</v>
      </c>
      <c r="J44" s="329">
        <f t="shared" si="5"/>
        <v>21332.095199999996</v>
      </c>
      <c r="K44" s="329">
        <f t="shared" si="5"/>
        <v>0</v>
      </c>
      <c r="L44" s="329">
        <f t="shared" si="5"/>
        <v>0</v>
      </c>
      <c r="M44" s="329">
        <f t="shared" si="5"/>
        <v>0</v>
      </c>
      <c r="N44" s="329">
        <f t="shared" si="5"/>
        <v>0</v>
      </c>
      <c r="O44" s="329">
        <f t="shared" si="5"/>
        <v>0</v>
      </c>
      <c r="P44" s="329">
        <f t="shared" si="5"/>
        <v>0</v>
      </c>
      <c r="Q44" s="329">
        <f t="shared" si="5"/>
        <v>0</v>
      </c>
      <c r="R44" s="329">
        <f t="shared" si="5"/>
        <v>0</v>
      </c>
      <c r="S44" s="329">
        <v>111.3</v>
      </c>
      <c r="T44" s="329">
        <f>SUM(T11:T43)</f>
        <v>237.42621957599999</v>
      </c>
    </row>
    <row r="45" spans="1:20">
      <c r="A45" s="130"/>
      <c r="B45" s="130"/>
      <c r="C45" s="130"/>
      <c r="I45" s="128"/>
      <c r="J45" s="128"/>
      <c r="K45" s="128"/>
      <c r="L45" s="128"/>
      <c r="M45" s="128"/>
      <c r="N45" s="128"/>
      <c r="O45" s="128"/>
      <c r="P45" s="128"/>
      <c r="Q45" s="128"/>
      <c r="R45" s="128"/>
    </row>
    <row r="46" spans="1:20">
      <c r="A46" s="130"/>
      <c r="B46" s="130"/>
      <c r="C46" s="130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20">
      <c r="A47" s="130"/>
      <c r="B47" s="130"/>
      <c r="C47" s="130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20">
      <c r="A48" s="130"/>
      <c r="B48" s="130"/>
      <c r="I48" s="128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1:20">
      <c r="A49" s="1002"/>
      <c r="B49" s="1002"/>
      <c r="C49" s="1002"/>
      <c r="D49" s="1002"/>
      <c r="E49" s="1002"/>
      <c r="F49" s="1002"/>
      <c r="G49" s="1002"/>
      <c r="H49" s="1002"/>
      <c r="I49" s="1002"/>
      <c r="J49" s="1002"/>
      <c r="K49" s="1002"/>
      <c r="L49" s="1002"/>
      <c r="M49" s="1002"/>
      <c r="N49" s="1002"/>
      <c r="O49" s="1002"/>
      <c r="P49" s="1002"/>
      <c r="Q49" s="1002"/>
      <c r="R49" s="1002"/>
    </row>
    <row r="50" spans="1:20" ht="14.25">
      <c r="A50" s="288"/>
      <c r="B50" s="288"/>
      <c r="C50" s="288"/>
      <c r="D50" s="288"/>
      <c r="E50" s="288"/>
      <c r="F50" s="288"/>
      <c r="G50" s="288"/>
      <c r="H50" s="288"/>
      <c r="M50" s="998" t="s">
        <v>908</v>
      </c>
      <c r="N50" s="998"/>
      <c r="O50" s="998"/>
      <c r="P50" s="998"/>
      <c r="Q50" s="998"/>
      <c r="R50" s="998"/>
      <c r="S50" s="998"/>
      <c r="T50" s="998"/>
    </row>
    <row r="51" spans="1:20" ht="14.25">
      <c r="A51" s="288"/>
      <c r="B51" s="288"/>
      <c r="C51" s="288"/>
      <c r="D51" s="288"/>
      <c r="E51" s="288"/>
      <c r="F51" s="288"/>
      <c r="G51" s="288"/>
      <c r="H51" s="288"/>
      <c r="M51" s="998" t="s">
        <v>646</v>
      </c>
      <c r="N51" s="998"/>
      <c r="O51" s="998"/>
      <c r="P51" s="998"/>
      <c r="Q51" s="998"/>
      <c r="R51" s="998"/>
      <c r="S51" s="998"/>
      <c r="T51" s="998"/>
    </row>
  </sheetData>
  <mergeCells count="18">
    <mergeCell ref="S1:T1"/>
    <mergeCell ref="A8:A9"/>
    <mergeCell ref="B8:B9"/>
    <mergeCell ref="C8:G8"/>
    <mergeCell ref="H8:H9"/>
    <mergeCell ref="I8:L8"/>
    <mergeCell ref="M8:R8"/>
    <mergeCell ref="G1:I1"/>
    <mergeCell ref="A6:R6"/>
    <mergeCell ref="A7:B7"/>
    <mergeCell ref="M50:T50"/>
    <mergeCell ref="M51:T51"/>
    <mergeCell ref="L7:R7"/>
    <mergeCell ref="S8:T8"/>
    <mergeCell ref="A2:T2"/>
    <mergeCell ref="A3:T3"/>
    <mergeCell ref="A4:T5"/>
    <mergeCell ref="A49:R49"/>
  </mergeCells>
  <printOptions horizontalCentered="1"/>
  <pageMargins left="0.4" right="0.38" top="0.51" bottom="0" header="0.31496062992125984" footer="0.31496062992125984"/>
  <pageSetup paperSize="9" scale="7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topLeftCell="A16" zoomScaleNormal="70" zoomScaleSheetLayoutView="100" workbookViewId="0">
      <selection activeCell="M29" sqref="M29"/>
    </sheetView>
  </sheetViews>
  <sheetFormatPr defaultColWidth="9.140625" defaultRowHeight="12.75"/>
  <cols>
    <col min="1" max="1" width="5.5703125" style="288" customWidth="1"/>
    <col min="2" max="2" width="18.28515625" style="288" customWidth="1"/>
    <col min="3" max="3" width="10.28515625" style="288" customWidth="1"/>
    <col min="4" max="4" width="12.85546875" style="288" customWidth="1"/>
    <col min="5" max="5" width="8.7109375" style="288" customWidth="1"/>
    <col min="6" max="7" width="8" style="288" customWidth="1"/>
    <col min="8" max="10" width="8.140625" style="288" customWidth="1"/>
    <col min="11" max="11" width="8.42578125" style="288" customWidth="1"/>
    <col min="12" max="12" width="8.140625" style="288" customWidth="1"/>
    <col min="13" max="13" width="8.85546875" style="288" customWidth="1"/>
    <col min="14" max="14" width="8.140625" style="288" customWidth="1"/>
    <col min="15" max="16384" width="9.140625" style="288"/>
  </cols>
  <sheetData>
    <row r="1" spans="1:16" ht="12.75" customHeight="1">
      <c r="A1" s="128"/>
      <c r="B1" s="128"/>
      <c r="C1" s="128"/>
      <c r="D1" s="999"/>
      <c r="E1" s="999"/>
      <c r="F1" s="128"/>
      <c r="G1" s="128"/>
      <c r="H1" s="128"/>
      <c r="I1" s="128"/>
      <c r="J1" s="128"/>
      <c r="K1" s="128"/>
      <c r="L1" s="128"/>
      <c r="M1" s="1001" t="s">
        <v>531</v>
      </c>
      <c r="N1" s="1001"/>
    </row>
    <row r="2" spans="1:16" ht="15.7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1:16" ht="18">
      <c r="A3" s="1012" t="s">
        <v>737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16" ht="12.75" customHeight="1">
      <c r="A4" s="997" t="s">
        <v>674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</row>
    <row r="5" spans="1:16" s="359" customFormat="1" ht="7.5" customHeight="1">
      <c r="A5" s="997"/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</row>
    <row r="6" spans="1:16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</row>
    <row r="7" spans="1:16">
      <c r="A7" s="1007" t="s">
        <v>658</v>
      </c>
      <c r="B7" s="1007"/>
      <c r="C7" s="128"/>
      <c r="D7" s="187"/>
      <c r="E7" s="128"/>
      <c r="F7" s="128"/>
      <c r="G7" s="128"/>
      <c r="H7" s="1003"/>
      <c r="I7" s="1003"/>
      <c r="J7" s="1003"/>
      <c r="K7" s="1003"/>
      <c r="L7" s="1003"/>
      <c r="M7" s="1003"/>
      <c r="N7" s="1003"/>
    </row>
    <row r="8" spans="1:16" ht="30.75" customHeight="1">
      <c r="A8" s="923" t="s">
        <v>2</v>
      </c>
      <c r="B8" s="923" t="s">
        <v>3</v>
      </c>
      <c r="C8" s="1017" t="s">
        <v>482</v>
      </c>
      <c r="D8" s="1008" t="s">
        <v>80</v>
      </c>
      <c r="E8" s="1004" t="s">
        <v>81</v>
      </c>
      <c r="F8" s="1005"/>
      <c r="G8" s="1005"/>
      <c r="H8" s="1006"/>
      <c r="I8" s="923" t="s">
        <v>560</v>
      </c>
      <c r="J8" s="923"/>
      <c r="K8" s="923"/>
      <c r="L8" s="923"/>
      <c r="M8" s="923"/>
      <c r="N8" s="923"/>
      <c r="O8" s="1010" t="s">
        <v>724</v>
      </c>
      <c r="P8" s="1010"/>
    </row>
    <row r="9" spans="1:16" ht="44.45" customHeight="1">
      <c r="A9" s="923"/>
      <c r="B9" s="923"/>
      <c r="C9" s="1018"/>
      <c r="D9" s="1009"/>
      <c r="E9" s="183" t="s">
        <v>176</v>
      </c>
      <c r="F9" s="183" t="s">
        <v>110</v>
      </c>
      <c r="G9" s="183" t="s">
        <v>111</v>
      </c>
      <c r="H9" s="183" t="s">
        <v>430</v>
      </c>
      <c r="I9" s="183" t="s">
        <v>16</v>
      </c>
      <c r="J9" s="280" t="s">
        <v>653</v>
      </c>
      <c r="K9" s="280" t="s">
        <v>655</v>
      </c>
      <c r="L9" s="183" t="s">
        <v>563</v>
      </c>
      <c r="M9" s="183" t="s">
        <v>564</v>
      </c>
      <c r="N9" s="183" t="s">
        <v>565</v>
      </c>
      <c r="O9" s="452" t="s">
        <v>725</v>
      </c>
      <c r="P9" s="452" t="s">
        <v>726</v>
      </c>
    </row>
    <row r="10" spans="1:16" s="360" customFormat="1">
      <c r="A10" s="183">
        <v>1</v>
      </c>
      <c r="B10" s="183">
        <v>2</v>
      </c>
      <c r="C10" s="183">
        <v>3</v>
      </c>
      <c r="D10" s="183">
        <v>8</v>
      </c>
      <c r="E10" s="183">
        <v>9</v>
      </c>
      <c r="F10" s="183">
        <v>10</v>
      </c>
      <c r="G10" s="183">
        <v>11</v>
      </c>
      <c r="H10" s="183">
        <v>12</v>
      </c>
      <c r="I10" s="183">
        <v>13</v>
      </c>
      <c r="J10" s="183">
        <v>14</v>
      </c>
      <c r="K10" s="183">
        <v>15</v>
      </c>
      <c r="L10" s="183">
        <v>16</v>
      </c>
      <c r="M10" s="183">
        <v>17</v>
      </c>
      <c r="N10" s="183">
        <v>18</v>
      </c>
      <c r="O10" s="494">
        <v>19</v>
      </c>
      <c r="P10" s="494">
        <v>20</v>
      </c>
    </row>
    <row r="11" spans="1:16" s="360" customFormat="1">
      <c r="A11" s="204">
        <v>1</v>
      </c>
      <c r="B11" s="204" t="s">
        <v>624</v>
      </c>
      <c r="C11" s="326">
        <v>0</v>
      </c>
      <c r="D11" s="327">
        <v>285</v>
      </c>
      <c r="E11" s="328">
        <f>SUM(F11:H11)</f>
        <v>0</v>
      </c>
      <c r="F11" s="328">
        <f>C11*285*0.00015</f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417">
        <v>111.3</v>
      </c>
      <c r="P11" s="498">
        <f>E11*1113/100000</f>
        <v>0</v>
      </c>
    </row>
    <row r="12" spans="1:16" s="360" customFormat="1">
      <c r="A12" s="204">
        <f>A11+1</f>
        <v>2</v>
      </c>
      <c r="B12" s="204" t="s">
        <v>589</v>
      </c>
      <c r="C12" s="326">
        <v>418</v>
      </c>
      <c r="D12" s="327">
        <v>285</v>
      </c>
      <c r="E12" s="328">
        <f t="shared" ref="E12:E43" si="0">SUM(F12:H12)</f>
        <v>17.869499999999999</v>
      </c>
      <c r="F12" s="328">
        <f t="shared" ref="F12:F43" si="1">C12*285*0.00015</f>
        <v>17.869499999999999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417">
        <v>111.3</v>
      </c>
      <c r="P12" s="498">
        <f t="shared" ref="P12:P43" si="2">E12*1113/100000</f>
        <v>0.19888753499999998</v>
      </c>
    </row>
    <row r="13" spans="1:16" s="360" customFormat="1">
      <c r="A13" s="204">
        <f t="shared" ref="A13:A43" si="3">A12+1</f>
        <v>3</v>
      </c>
      <c r="B13" s="204" t="s">
        <v>625</v>
      </c>
      <c r="C13" s="326">
        <v>0</v>
      </c>
      <c r="D13" s="327">
        <v>285</v>
      </c>
      <c r="E13" s="328">
        <f t="shared" si="0"/>
        <v>0</v>
      </c>
      <c r="F13" s="328">
        <f t="shared" si="1"/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417">
        <v>111.3</v>
      </c>
      <c r="P13" s="498">
        <f t="shared" si="2"/>
        <v>0</v>
      </c>
    </row>
    <row r="14" spans="1:16" s="360" customFormat="1">
      <c r="A14" s="204">
        <f t="shared" si="3"/>
        <v>4</v>
      </c>
      <c r="B14" s="204" t="s">
        <v>590</v>
      </c>
      <c r="C14" s="326">
        <v>0</v>
      </c>
      <c r="D14" s="327">
        <v>285</v>
      </c>
      <c r="E14" s="328">
        <f t="shared" si="0"/>
        <v>0</v>
      </c>
      <c r="F14" s="328">
        <f t="shared" si="1"/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417">
        <v>111.3</v>
      </c>
      <c r="P14" s="498">
        <f t="shared" si="2"/>
        <v>0</v>
      </c>
    </row>
    <row r="15" spans="1:16" s="360" customFormat="1">
      <c r="A15" s="204">
        <f t="shared" si="3"/>
        <v>5</v>
      </c>
      <c r="B15" s="204" t="s">
        <v>591</v>
      </c>
      <c r="C15" s="326">
        <v>0</v>
      </c>
      <c r="D15" s="327">
        <v>285</v>
      </c>
      <c r="E15" s="328">
        <f t="shared" si="0"/>
        <v>0</v>
      </c>
      <c r="F15" s="328">
        <f t="shared" si="1"/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417">
        <v>111.3</v>
      </c>
      <c r="P15" s="498">
        <f t="shared" si="2"/>
        <v>0</v>
      </c>
    </row>
    <row r="16" spans="1:16" s="360" customFormat="1">
      <c r="A16" s="204">
        <f t="shared" si="3"/>
        <v>6</v>
      </c>
      <c r="B16" s="204" t="s">
        <v>592</v>
      </c>
      <c r="C16" s="326">
        <v>0</v>
      </c>
      <c r="D16" s="327">
        <v>285</v>
      </c>
      <c r="E16" s="328">
        <f t="shared" si="0"/>
        <v>0</v>
      </c>
      <c r="F16" s="328">
        <f t="shared" si="1"/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417">
        <v>111.3</v>
      </c>
      <c r="P16" s="498">
        <f t="shared" si="2"/>
        <v>0</v>
      </c>
    </row>
    <row r="17" spans="1:16" s="360" customFormat="1">
      <c r="A17" s="204">
        <f t="shared" si="3"/>
        <v>7</v>
      </c>
      <c r="B17" s="204" t="s">
        <v>593</v>
      </c>
      <c r="C17" s="326">
        <v>0</v>
      </c>
      <c r="D17" s="327">
        <v>285</v>
      </c>
      <c r="E17" s="328">
        <f t="shared" si="0"/>
        <v>0</v>
      </c>
      <c r="F17" s="328">
        <f t="shared" si="1"/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417">
        <v>111.3</v>
      </c>
      <c r="P17" s="498">
        <f t="shared" si="2"/>
        <v>0</v>
      </c>
    </row>
    <row r="18" spans="1:16" s="360" customFormat="1">
      <c r="A18" s="204">
        <f t="shared" si="3"/>
        <v>8</v>
      </c>
      <c r="B18" s="204" t="s">
        <v>594</v>
      </c>
      <c r="C18" s="326">
        <v>209</v>
      </c>
      <c r="D18" s="327">
        <v>285</v>
      </c>
      <c r="E18" s="328">
        <f t="shared" si="0"/>
        <v>8.9347499999999993</v>
      </c>
      <c r="F18" s="328">
        <f t="shared" si="1"/>
        <v>8.9347499999999993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417">
        <v>111.3</v>
      </c>
      <c r="P18" s="498">
        <f t="shared" si="2"/>
        <v>9.9443767499999988E-2</v>
      </c>
    </row>
    <row r="19" spans="1:16" s="360" customFormat="1">
      <c r="A19" s="204">
        <f t="shared" si="3"/>
        <v>9</v>
      </c>
      <c r="B19" s="204" t="s">
        <v>595</v>
      </c>
      <c r="C19" s="326">
        <v>0</v>
      </c>
      <c r="D19" s="327">
        <v>285</v>
      </c>
      <c r="E19" s="328">
        <f t="shared" si="0"/>
        <v>0</v>
      </c>
      <c r="F19" s="328">
        <f t="shared" si="1"/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417">
        <v>111.3</v>
      </c>
      <c r="P19" s="498">
        <f t="shared" si="2"/>
        <v>0</v>
      </c>
    </row>
    <row r="20" spans="1:16" s="360" customFormat="1">
      <c r="A20" s="204">
        <f t="shared" si="3"/>
        <v>10</v>
      </c>
      <c r="B20" s="204" t="s">
        <v>596</v>
      </c>
      <c r="C20" s="326">
        <v>199</v>
      </c>
      <c r="D20" s="327">
        <v>285</v>
      </c>
      <c r="E20" s="328">
        <f t="shared" si="0"/>
        <v>8.5072499999999991</v>
      </c>
      <c r="F20" s="328">
        <f t="shared" si="1"/>
        <v>8.5072499999999991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417">
        <v>111.3</v>
      </c>
      <c r="P20" s="498">
        <f t="shared" si="2"/>
        <v>9.4685692499999988E-2</v>
      </c>
    </row>
    <row r="21" spans="1:16" s="360" customFormat="1">
      <c r="A21" s="204">
        <f t="shared" si="3"/>
        <v>11</v>
      </c>
      <c r="B21" s="204" t="s">
        <v>626</v>
      </c>
      <c r="C21" s="326">
        <v>0</v>
      </c>
      <c r="D21" s="327">
        <v>285</v>
      </c>
      <c r="E21" s="328">
        <f t="shared" si="0"/>
        <v>0</v>
      </c>
      <c r="F21" s="328">
        <f t="shared" si="1"/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417">
        <v>111.3</v>
      </c>
      <c r="P21" s="498">
        <f t="shared" si="2"/>
        <v>0</v>
      </c>
    </row>
    <row r="22" spans="1:16" s="360" customFormat="1">
      <c r="A22" s="204">
        <f t="shared" si="3"/>
        <v>12</v>
      </c>
      <c r="B22" s="204" t="s">
        <v>597</v>
      </c>
      <c r="C22" s="326">
        <v>161</v>
      </c>
      <c r="D22" s="327">
        <v>285</v>
      </c>
      <c r="E22" s="328">
        <f t="shared" si="0"/>
        <v>6.8827499999999997</v>
      </c>
      <c r="F22" s="328">
        <f t="shared" si="1"/>
        <v>6.8827499999999997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417">
        <v>111.3</v>
      </c>
      <c r="P22" s="498">
        <f t="shared" si="2"/>
        <v>7.6605007499999989E-2</v>
      </c>
    </row>
    <row r="23" spans="1:16" s="360" customFormat="1">
      <c r="A23" s="204">
        <f t="shared" si="3"/>
        <v>13</v>
      </c>
      <c r="B23" s="204" t="s">
        <v>598</v>
      </c>
      <c r="C23" s="326">
        <v>164</v>
      </c>
      <c r="D23" s="327">
        <v>285</v>
      </c>
      <c r="E23" s="328">
        <f t="shared" si="0"/>
        <v>7.0109999999999992</v>
      </c>
      <c r="F23" s="328">
        <f t="shared" si="1"/>
        <v>7.0109999999999992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417">
        <v>111.3</v>
      </c>
      <c r="P23" s="498">
        <f t="shared" si="2"/>
        <v>7.803243E-2</v>
      </c>
    </row>
    <row r="24" spans="1:16" s="360" customFormat="1">
      <c r="A24" s="204">
        <f t="shared" si="3"/>
        <v>14</v>
      </c>
      <c r="B24" s="204" t="s">
        <v>627</v>
      </c>
      <c r="C24" s="326">
        <v>0</v>
      </c>
      <c r="D24" s="327">
        <v>285</v>
      </c>
      <c r="E24" s="328">
        <f t="shared" si="0"/>
        <v>0</v>
      </c>
      <c r="F24" s="328">
        <f t="shared" si="1"/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417">
        <v>111.3</v>
      </c>
      <c r="P24" s="498">
        <f t="shared" si="2"/>
        <v>0</v>
      </c>
    </row>
    <row r="25" spans="1:16" s="360" customFormat="1">
      <c r="A25" s="204">
        <f t="shared" si="3"/>
        <v>15</v>
      </c>
      <c r="B25" s="204" t="s">
        <v>599</v>
      </c>
      <c r="C25" s="326">
        <v>0</v>
      </c>
      <c r="D25" s="327">
        <v>285</v>
      </c>
      <c r="E25" s="328">
        <f t="shared" si="0"/>
        <v>0</v>
      </c>
      <c r="F25" s="328">
        <f t="shared" si="1"/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417">
        <v>111.3</v>
      </c>
      <c r="P25" s="498">
        <f t="shared" si="2"/>
        <v>0</v>
      </c>
    </row>
    <row r="26" spans="1:16">
      <c r="A26" s="204">
        <f t="shared" si="3"/>
        <v>16</v>
      </c>
      <c r="B26" s="204" t="s">
        <v>600</v>
      </c>
      <c r="C26" s="326">
        <v>0</v>
      </c>
      <c r="D26" s="327">
        <v>285</v>
      </c>
      <c r="E26" s="328">
        <f t="shared" si="0"/>
        <v>0</v>
      </c>
      <c r="F26" s="328">
        <f t="shared" si="1"/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417">
        <v>111.3</v>
      </c>
      <c r="P26" s="498">
        <f t="shared" si="2"/>
        <v>0</v>
      </c>
    </row>
    <row r="27" spans="1:16">
      <c r="A27" s="204">
        <f t="shared" si="3"/>
        <v>17</v>
      </c>
      <c r="B27" s="426" t="s">
        <v>684</v>
      </c>
      <c r="C27" s="326">
        <v>0</v>
      </c>
      <c r="D27" s="327">
        <v>285</v>
      </c>
      <c r="E27" s="328">
        <f t="shared" si="0"/>
        <v>0</v>
      </c>
      <c r="F27" s="328">
        <f t="shared" si="1"/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417">
        <v>111.3</v>
      </c>
      <c r="P27" s="498">
        <f t="shared" si="2"/>
        <v>0</v>
      </c>
    </row>
    <row r="28" spans="1:16">
      <c r="A28" s="204">
        <f t="shared" si="3"/>
        <v>18</v>
      </c>
      <c r="B28" s="204" t="s">
        <v>601</v>
      </c>
      <c r="C28" s="326">
        <v>120</v>
      </c>
      <c r="D28" s="327">
        <v>285</v>
      </c>
      <c r="E28" s="328">
        <f t="shared" si="0"/>
        <v>5.13</v>
      </c>
      <c r="F28" s="328">
        <f t="shared" si="1"/>
        <v>5.13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417">
        <v>111.3</v>
      </c>
      <c r="P28" s="498">
        <f t="shared" si="2"/>
        <v>5.7096899999999999E-2</v>
      </c>
    </row>
    <row r="29" spans="1:16">
      <c r="A29" s="204">
        <f t="shared" si="3"/>
        <v>19</v>
      </c>
      <c r="B29" s="204" t="s">
        <v>602</v>
      </c>
      <c r="C29" s="326">
        <v>0</v>
      </c>
      <c r="D29" s="327">
        <v>285</v>
      </c>
      <c r="E29" s="328">
        <f t="shared" si="0"/>
        <v>0</v>
      </c>
      <c r="F29" s="328">
        <f t="shared" si="1"/>
        <v>0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417">
        <v>111.3</v>
      </c>
      <c r="P29" s="498">
        <f t="shared" si="2"/>
        <v>0</v>
      </c>
    </row>
    <row r="30" spans="1:16">
      <c r="A30" s="204">
        <f t="shared" si="3"/>
        <v>20</v>
      </c>
      <c r="B30" s="426" t="s">
        <v>683</v>
      </c>
      <c r="C30" s="326">
        <v>0</v>
      </c>
      <c r="D30" s="327">
        <v>285</v>
      </c>
      <c r="E30" s="328">
        <f t="shared" si="0"/>
        <v>0</v>
      </c>
      <c r="F30" s="328">
        <f t="shared" si="1"/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417">
        <v>111.3</v>
      </c>
      <c r="P30" s="498">
        <f t="shared" si="2"/>
        <v>0</v>
      </c>
    </row>
    <row r="31" spans="1:16">
      <c r="A31" s="204">
        <f t="shared" si="3"/>
        <v>21</v>
      </c>
      <c r="B31" s="204" t="s">
        <v>628</v>
      </c>
      <c r="C31" s="326">
        <v>0</v>
      </c>
      <c r="D31" s="327">
        <v>285</v>
      </c>
      <c r="E31" s="328">
        <f t="shared" si="0"/>
        <v>0</v>
      </c>
      <c r="F31" s="328">
        <f t="shared" si="1"/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0</v>
      </c>
      <c r="O31" s="417">
        <v>111.3</v>
      </c>
      <c r="P31" s="498">
        <f t="shared" si="2"/>
        <v>0</v>
      </c>
    </row>
    <row r="32" spans="1:16">
      <c r="A32" s="204">
        <f t="shared" si="3"/>
        <v>22</v>
      </c>
      <c r="B32" s="204" t="s">
        <v>603</v>
      </c>
      <c r="C32" s="326">
        <v>308</v>
      </c>
      <c r="D32" s="327">
        <v>285</v>
      </c>
      <c r="E32" s="328">
        <f t="shared" si="0"/>
        <v>13.166999999999998</v>
      </c>
      <c r="F32" s="328">
        <f t="shared" si="1"/>
        <v>13.166999999999998</v>
      </c>
      <c r="G32" s="328">
        <v>0</v>
      </c>
      <c r="H32" s="328">
        <v>0</v>
      </c>
      <c r="I32" s="328">
        <v>0</v>
      </c>
      <c r="J32" s="328">
        <v>0</v>
      </c>
      <c r="K32" s="328">
        <v>0</v>
      </c>
      <c r="L32" s="328">
        <v>0</v>
      </c>
      <c r="M32" s="328">
        <v>0</v>
      </c>
      <c r="N32" s="328">
        <v>0</v>
      </c>
      <c r="O32" s="417">
        <v>111.3</v>
      </c>
      <c r="P32" s="498">
        <f t="shared" si="2"/>
        <v>0.14654870999999997</v>
      </c>
    </row>
    <row r="33" spans="1:16">
      <c r="A33" s="204">
        <f t="shared" si="3"/>
        <v>23</v>
      </c>
      <c r="B33" s="204" t="s">
        <v>604</v>
      </c>
      <c r="C33" s="326">
        <v>0</v>
      </c>
      <c r="D33" s="327">
        <v>285</v>
      </c>
      <c r="E33" s="328">
        <f t="shared" si="0"/>
        <v>0</v>
      </c>
      <c r="F33" s="328">
        <f t="shared" si="1"/>
        <v>0</v>
      </c>
      <c r="G33" s="328">
        <v>0</v>
      </c>
      <c r="H33" s="328">
        <v>0</v>
      </c>
      <c r="I33" s="328">
        <v>0</v>
      </c>
      <c r="J33" s="328">
        <v>0</v>
      </c>
      <c r="K33" s="328">
        <v>0</v>
      </c>
      <c r="L33" s="328">
        <v>0</v>
      </c>
      <c r="M33" s="328">
        <v>0</v>
      </c>
      <c r="N33" s="328">
        <v>0</v>
      </c>
      <c r="O33" s="417">
        <v>111.3</v>
      </c>
      <c r="P33" s="498">
        <f t="shared" si="2"/>
        <v>0</v>
      </c>
    </row>
    <row r="34" spans="1:16">
      <c r="A34" s="204">
        <f t="shared" si="3"/>
        <v>24</v>
      </c>
      <c r="B34" s="204" t="s">
        <v>605</v>
      </c>
      <c r="C34" s="326">
        <v>0</v>
      </c>
      <c r="D34" s="327">
        <v>285</v>
      </c>
      <c r="E34" s="328">
        <f t="shared" si="0"/>
        <v>0</v>
      </c>
      <c r="F34" s="328">
        <f t="shared" si="1"/>
        <v>0</v>
      </c>
      <c r="G34" s="328">
        <v>0</v>
      </c>
      <c r="H34" s="328">
        <v>0</v>
      </c>
      <c r="I34" s="328">
        <v>0</v>
      </c>
      <c r="J34" s="328">
        <v>0</v>
      </c>
      <c r="K34" s="328">
        <v>0</v>
      </c>
      <c r="L34" s="328">
        <v>0</v>
      </c>
      <c r="M34" s="328">
        <v>0</v>
      </c>
      <c r="N34" s="328">
        <v>0</v>
      </c>
      <c r="O34" s="417">
        <v>111.3</v>
      </c>
      <c r="P34" s="498">
        <f t="shared" si="2"/>
        <v>0</v>
      </c>
    </row>
    <row r="35" spans="1:16">
      <c r="A35" s="204">
        <f t="shared" si="3"/>
        <v>25</v>
      </c>
      <c r="B35" s="204" t="s">
        <v>606</v>
      </c>
      <c r="C35" s="326">
        <v>954</v>
      </c>
      <c r="D35" s="327">
        <v>285</v>
      </c>
      <c r="E35" s="328">
        <f t="shared" si="0"/>
        <v>40.783499999999997</v>
      </c>
      <c r="F35" s="328">
        <f t="shared" si="1"/>
        <v>40.783499999999997</v>
      </c>
      <c r="G35" s="328">
        <v>0</v>
      </c>
      <c r="H35" s="328">
        <v>0</v>
      </c>
      <c r="I35" s="328">
        <v>0</v>
      </c>
      <c r="J35" s="328">
        <v>0</v>
      </c>
      <c r="K35" s="328">
        <v>0</v>
      </c>
      <c r="L35" s="328">
        <v>0</v>
      </c>
      <c r="M35" s="328">
        <v>0</v>
      </c>
      <c r="N35" s="328">
        <v>0</v>
      </c>
      <c r="O35" s="417">
        <v>111.3</v>
      </c>
      <c r="P35" s="498">
        <f t="shared" si="2"/>
        <v>0.453920355</v>
      </c>
    </row>
    <row r="36" spans="1:16">
      <c r="A36" s="204">
        <f t="shared" si="3"/>
        <v>26</v>
      </c>
      <c r="B36" s="204" t="s">
        <v>607</v>
      </c>
      <c r="C36" s="326">
        <v>0</v>
      </c>
      <c r="D36" s="327">
        <v>285</v>
      </c>
      <c r="E36" s="328">
        <f t="shared" si="0"/>
        <v>0</v>
      </c>
      <c r="F36" s="328">
        <f t="shared" si="1"/>
        <v>0</v>
      </c>
      <c r="G36" s="328">
        <v>0</v>
      </c>
      <c r="H36" s="328">
        <v>0</v>
      </c>
      <c r="I36" s="328">
        <v>0</v>
      </c>
      <c r="J36" s="328">
        <v>0</v>
      </c>
      <c r="K36" s="328">
        <v>0</v>
      </c>
      <c r="L36" s="328">
        <v>0</v>
      </c>
      <c r="M36" s="328">
        <v>0</v>
      </c>
      <c r="N36" s="328">
        <v>0</v>
      </c>
      <c r="O36" s="417">
        <v>111.3</v>
      </c>
      <c r="P36" s="498">
        <f t="shared" si="2"/>
        <v>0</v>
      </c>
    </row>
    <row r="37" spans="1:16">
      <c r="A37" s="204">
        <f t="shared" si="3"/>
        <v>27</v>
      </c>
      <c r="B37" s="204" t="s">
        <v>608</v>
      </c>
      <c r="C37" s="326">
        <v>0</v>
      </c>
      <c r="D37" s="327">
        <v>285</v>
      </c>
      <c r="E37" s="328">
        <f t="shared" si="0"/>
        <v>0</v>
      </c>
      <c r="F37" s="328">
        <f t="shared" si="1"/>
        <v>0</v>
      </c>
      <c r="G37" s="328">
        <v>0</v>
      </c>
      <c r="H37" s="328">
        <v>0</v>
      </c>
      <c r="I37" s="328">
        <v>0</v>
      </c>
      <c r="J37" s="328">
        <v>0</v>
      </c>
      <c r="K37" s="328">
        <v>0</v>
      </c>
      <c r="L37" s="328">
        <v>0</v>
      </c>
      <c r="M37" s="328">
        <v>0</v>
      </c>
      <c r="N37" s="328">
        <v>0</v>
      </c>
      <c r="O37" s="417">
        <v>111.3</v>
      </c>
      <c r="P37" s="498">
        <f t="shared" si="2"/>
        <v>0</v>
      </c>
    </row>
    <row r="38" spans="1:16">
      <c r="A38" s="204">
        <f t="shared" si="3"/>
        <v>28</v>
      </c>
      <c r="B38" s="204" t="s">
        <v>609</v>
      </c>
      <c r="C38" s="326">
        <v>0</v>
      </c>
      <c r="D38" s="327">
        <v>285</v>
      </c>
      <c r="E38" s="328">
        <f t="shared" si="0"/>
        <v>0</v>
      </c>
      <c r="F38" s="328">
        <f t="shared" si="1"/>
        <v>0</v>
      </c>
      <c r="G38" s="328">
        <v>0</v>
      </c>
      <c r="H38" s="328">
        <v>0</v>
      </c>
      <c r="I38" s="328">
        <v>0</v>
      </c>
      <c r="J38" s="328">
        <v>0</v>
      </c>
      <c r="K38" s="328">
        <v>0</v>
      </c>
      <c r="L38" s="328">
        <v>0</v>
      </c>
      <c r="M38" s="328">
        <v>0</v>
      </c>
      <c r="N38" s="328">
        <v>0</v>
      </c>
      <c r="O38" s="417">
        <v>111.3</v>
      </c>
      <c r="P38" s="498">
        <f t="shared" si="2"/>
        <v>0</v>
      </c>
    </row>
    <row r="39" spans="1:16">
      <c r="A39" s="204">
        <f t="shared" si="3"/>
        <v>29</v>
      </c>
      <c r="B39" s="204" t="s">
        <v>610</v>
      </c>
      <c r="C39" s="326">
        <v>475</v>
      </c>
      <c r="D39" s="327">
        <v>285</v>
      </c>
      <c r="E39" s="328">
        <f t="shared" si="0"/>
        <v>20.306249999999999</v>
      </c>
      <c r="F39" s="328">
        <f t="shared" si="1"/>
        <v>20.306249999999999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 s="417">
        <v>111.3</v>
      </c>
      <c r="P39" s="498">
        <f t="shared" si="2"/>
        <v>0.22600856249999998</v>
      </c>
    </row>
    <row r="40" spans="1:16">
      <c r="A40" s="204">
        <f t="shared" si="3"/>
        <v>30</v>
      </c>
      <c r="B40" s="143" t="s">
        <v>611</v>
      </c>
      <c r="C40" s="326">
        <v>0</v>
      </c>
      <c r="D40" s="327">
        <v>285</v>
      </c>
      <c r="E40" s="328">
        <f t="shared" si="0"/>
        <v>0</v>
      </c>
      <c r="F40" s="328">
        <f t="shared" si="1"/>
        <v>0</v>
      </c>
      <c r="G40" s="328">
        <v>0</v>
      </c>
      <c r="H40" s="328">
        <v>0</v>
      </c>
      <c r="I40" s="328">
        <v>0</v>
      </c>
      <c r="J40" s="328">
        <v>0</v>
      </c>
      <c r="K40" s="328">
        <v>0</v>
      </c>
      <c r="L40" s="328">
        <v>0</v>
      </c>
      <c r="M40" s="328">
        <v>0</v>
      </c>
      <c r="N40" s="328">
        <v>0</v>
      </c>
      <c r="O40" s="417">
        <v>111.3</v>
      </c>
      <c r="P40" s="498">
        <f t="shared" si="2"/>
        <v>0</v>
      </c>
    </row>
    <row r="41" spans="1:16">
      <c r="A41" s="204">
        <f t="shared" si="3"/>
        <v>31</v>
      </c>
      <c r="B41" s="143" t="s">
        <v>612</v>
      </c>
      <c r="C41" s="326">
        <v>0</v>
      </c>
      <c r="D41" s="327">
        <v>285</v>
      </c>
      <c r="E41" s="328">
        <f t="shared" si="0"/>
        <v>0</v>
      </c>
      <c r="F41" s="328">
        <f t="shared" si="1"/>
        <v>0</v>
      </c>
      <c r="G41" s="328">
        <v>0</v>
      </c>
      <c r="H41" s="328">
        <v>0</v>
      </c>
      <c r="I41" s="328">
        <v>0</v>
      </c>
      <c r="J41" s="328">
        <v>0</v>
      </c>
      <c r="K41" s="328">
        <v>0</v>
      </c>
      <c r="L41" s="328">
        <v>0</v>
      </c>
      <c r="M41" s="328">
        <v>0</v>
      </c>
      <c r="N41" s="328">
        <v>0</v>
      </c>
      <c r="O41" s="417">
        <v>111.3</v>
      </c>
      <c r="P41" s="498">
        <f t="shared" si="2"/>
        <v>0</v>
      </c>
    </row>
    <row r="42" spans="1:16">
      <c r="A42" s="204">
        <f t="shared" si="3"/>
        <v>32</v>
      </c>
      <c r="B42" s="143" t="s">
        <v>613</v>
      </c>
      <c r="C42" s="326">
        <v>0</v>
      </c>
      <c r="D42" s="327">
        <v>285</v>
      </c>
      <c r="E42" s="328">
        <f t="shared" si="0"/>
        <v>0</v>
      </c>
      <c r="F42" s="328">
        <f t="shared" si="1"/>
        <v>0</v>
      </c>
      <c r="G42" s="328">
        <v>0</v>
      </c>
      <c r="H42" s="328">
        <v>0</v>
      </c>
      <c r="I42" s="328">
        <v>0</v>
      </c>
      <c r="J42" s="328">
        <v>0</v>
      </c>
      <c r="K42" s="328">
        <v>0</v>
      </c>
      <c r="L42" s="328">
        <v>0</v>
      </c>
      <c r="M42" s="328">
        <v>0</v>
      </c>
      <c r="N42" s="328">
        <v>0</v>
      </c>
      <c r="O42" s="417">
        <v>111.3</v>
      </c>
      <c r="P42" s="498">
        <f t="shared" si="2"/>
        <v>0</v>
      </c>
    </row>
    <row r="43" spans="1:16">
      <c r="A43" s="204">
        <f t="shared" si="3"/>
        <v>33</v>
      </c>
      <c r="B43" s="143" t="s">
        <v>614</v>
      </c>
      <c r="C43" s="326">
        <v>0</v>
      </c>
      <c r="D43" s="327">
        <v>285</v>
      </c>
      <c r="E43" s="328">
        <f t="shared" si="0"/>
        <v>0</v>
      </c>
      <c r="F43" s="328">
        <f t="shared" si="1"/>
        <v>0</v>
      </c>
      <c r="G43" s="328">
        <v>0</v>
      </c>
      <c r="H43" s="328">
        <v>0</v>
      </c>
      <c r="I43" s="328">
        <v>0</v>
      </c>
      <c r="J43" s="328">
        <v>0</v>
      </c>
      <c r="K43" s="328">
        <v>0</v>
      </c>
      <c r="L43" s="328">
        <v>0</v>
      </c>
      <c r="M43" s="328">
        <v>0</v>
      </c>
      <c r="N43" s="328">
        <v>0</v>
      </c>
      <c r="O43" s="417">
        <v>111.3</v>
      </c>
      <c r="P43" s="498">
        <f t="shared" si="2"/>
        <v>0</v>
      </c>
    </row>
    <row r="44" spans="1:16">
      <c r="A44" s="151"/>
      <c r="B44" s="151" t="s">
        <v>615</v>
      </c>
      <c r="C44" s="199">
        <f>SUM(C11:C43)</f>
        <v>3008</v>
      </c>
      <c r="D44" s="522">
        <v>285</v>
      </c>
      <c r="E44" s="329">
        <f t="shared" ref="E44:N44" si="4">SUM(E11:E43)</f>
        <v>128.59199999999998</v>
      </c>
      <c r="F44" s="329">
        <f t="shared" si="4"/>
        <v>128.59199999999998</v>
      </c>
      <c r="G44" s="329">
        <f t="shared" si="4"/>
        <v>0</v>
      </c>
      <c r="H44" s="329">
        <f t="shared" si="4"/>
        <v>0</v>
      </c>
      <c r="I44" s="329">
        <f t="shared" si="4"/>
        <v>0</v>
      </c>
      <c r="J44" s="329">
        <f t="shared" si="4"/>
        <v>0</v>
      </c>
      <c r="K44" s="329">
        <f t="shared" si="4"/>
        <v>0</v>
      </c>
      <c r="L44" s="329">
        <f t="shared" si="4"/>
        <v>0</v>
      </c>
      <c r="M44" s="329">
        <f t="shared" si="4"/>
        <v>0</v>
      </c>
      <c r="N44" s="329">
        <f t="shared" si="4"/>
        <v>0</v>
      </c>
      <c r="O44" s="329">
        <f>SUM(O11:O43)</f>
        <v>3672.9000000000019</v>
      </c>
      <c r="P44" s="329">
        <f>SUM(P11:P43)</f>
        <v>1.4312289599999997</v>
      </c>
    </row>
    <row r="45" spans="1:16">
      <c r="A45" s="130"/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P45" s="441"/>
    </row>
    <row r="46" spans="1:16">
      <c r="A46" s="130"/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6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6">
      <c r="A48" s="130"/>
      <c r="B48" s="130"/>
      <c r="C48" s="128"/>
      <c r="D48" s="128"/>
      <c r="E48" s="128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>
      <c r="A49" s="128"/>
      <c r="B49" s="128"/>
      <c r="C49" s="128"/>
      <c r="D49" s="128"/>
    </row>
    <row r="50" spans="1:14" ht="14.25">
      <c r="A50" s="128"/>
      <c r="B50" s="128"/>
      <c r="C50" s="128"/>
      <c r="D50" s="128"/>
      <c r="I50" s="998" t="s">
        <v>908</v>
      </c>
      <c r="J50" s="998"/>
      <c r="K50" s="998"/>
      <c r="L50" s="998"/>
      <c r="M50" s="998"/>
      <c r="N50" s="998"/>
    </row>
    <row r="51" spans="1:14" ht="14.25">
      <c r="A51" s="128"/>
      <c r="B51" s="128"/>
      <c r="C51" s="128"/>
      <c r="D51" s="128"/>
      <c r="I51" s="998" t="s">
        <v>646</v>
      </c>
      <c r="J51" s="998"/>
      <c r="K51" s="998"/>
      <c r="L51" s="998"/>
      <c r="M51" s="998"/>
      <c r="N51" s="998"/>
    </row>
  </sheetData>
  <mergeCells count="17">
    <mergeCell ref="D1:E1"/>
    <mergeCell ref="M1:N1"/>
    <mergeCell ref="I50:N50"/>
    <mergeCell ref="I51:N51"/>
    <mergeCell ref="C8:C9"/>
    <mergeCell ref="H7:N7"/>
    <mergeCell ref="D8:D9"/>
    <mergeCell ref="E8:H8"/>
    <mergeCell ref="I8:N8"/>
    <mergeCell ref="O8:P8"/>
    <mergeCell ref="A2:P2"/>
    <mergeCell ref="A3:P3"/>
    <mergeCell ref="A4:P5"/>
    <mergeCell ref="A6:N6"/>
    <mergeCell ref="A7:B7"/>
    <mergeCell ref="A8:A9"/>
    <mergeCell ref="B8:B9"/>
  </mergeCells>
  <printOptions horizontalCentered="1"/>
  <pageMargins left="0.42" right="0.34" top="0.47" bottom="0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>
      <selection activeCell="M29" sqref="M29"/>
    </sheetView>
  </sheetViews>
  <sheetFormatPr defaultRowHeight="12.75"/>
  <cols>
    <col min="1" max="1" width="9.28515625" bestFit="1" customWidth="1"/>
    <col min="2" max="2" width="15.28515625" bestFit="1" customWidth="1"/>
    <col min="3" max="4" width="14.85546875" bestFit="1" customWidth="1"/>
    <col min="5" max="5" width="9.28515625" bestFit="1" customWidth="1"/>
    <col min="6" max="6" width="14.85546875" bestFit="1" customWidth="1"/>
    <col min="7" max="8" width="16.28515625" bestFit="1" customWidth="1"/>
    <col min="9" max="9" width="9.28515625" bestFit="1" customWidth="1"/>
    <col min="10" max="11" width="16.28515625" bestFit="1" customWidth="1"/>
    <col min="12" max="12" width="9.28515625" bestFit="1" customWidth="1"/>
  </cols>
  <sheetData>
    <row r="1" spans="1:12" ht="18">
      <c r="A1" s="780" t="s">
        <v>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556" t="s">
        <v>833</v>
      </c>
    </row>
    <row r="2" spans="1:12" ht="21">
      <c r="A2" s="781" t="s">
        <v>737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</row>
    <row r="3" spans="1:12" ht="15">
      <c r="A3" s="557"/>
      <c r="B3" s="557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8">
      <c r="A4" s="782" t="s">
        <v>834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</row>
    <row r="5" spans="1:12" ht="15">
      <c r="A5" s="558" t="s">
        <v>862</v>
      </c>
      <c r="B5" s="558"/>
      <c r="C5" s="541"/>
      <c r="D5" s="541"/>
      <c r="E5" s="541"/>
      <c r="F5" s="541"/>
      <c r="G5" s="541"/>
      <c r="H5" s="541"/>
      <c r="I5" s="541"/>
      <c r="J5" s="541"/>
      <c r="K5" s="541"/>
      <c r="L5" s="541"/>
    </row>
    <row r="6" spans="1:12" ht="15">
      <c r="A6" s="558"/>
      <c r="B6" s="558"/>
      <c r="C6" s="541"/>
      <c r="D6" s="541"/>
      <c r="E6" s="541"/>
      <c r="F6" s="541"/>
      <c r="G6" s="541"/>
      <c r="H6" s="541"/>
      <c r="I6" s="541"/>
      <c r="J6" s="541"/>
      <c r="K6" s="541"/>
      <c r="L6" s="541"/>
    </row>
    <row r="7" spans="1:12" ht="15">
      <c r="A7" s="779" t="s">
        <v>835</v>
      </c>
      <c r="B7" s="779"/>
      <c r="C7" s="779"/>
      <c r="D7" s="551">
        <v>3180267000</v>
      </c>
      <c r="E7" s="541"/>
      <c r="F7" s="541"/>
      <c r="G7" s="541"/>
      <c r="H7" s="541"/>
      <c r="I7" s="541"/>
      <c r="J7" s="541"/>
      <c r="K7" s="783" t="s">
        <v>836</v>
      </c>
      <c r="L7" s="783"/>
    </row>
    <row r="8" spans="1:12" ht="15">
      <c r="A8" s="779" t="s">
        <v>837</v>
      </c>
      <c r="B8" s="779"/>
      <c r="C8" s="779"/>
      <c r="D8" s="551">
        <v>2556340000</v>
      </c>
      <c r="E8" s="541"/>
      <c r="F8" s="541"/>
      <c r="G8" s="541"/>
      <c r="H8" s="541"/>
      <c r="I8" s="541"/>
      <c r="J8" s="541"/>
      <c r="K8" s="559"/>
      <c r="L8" s="559"/>
    </row>
    <row r="9" spans="1:12" ht="15">
      <c r="A9" s="558"/>
      <c r="B9" s="558"/>
      <c r="C9" s="541"/>
      <c r="D9" s="541"/>
      <c r="E9" s="541"/>
      <c r="F9" s="541"/>
      <c r="G9" s="541"/>
      <c r="H9" s="541"/>
      <c r="I9" s="541"/>
      <c r="J9" s="784" t="s">
        <v>774</v>
      </c>
      <c r="K9" s="784"/>
      <c r="L9" s="784"/>
    </row>
    <row r="10" spans="1:12">
      <c r="A10" s="785" t="s">
        <v>2</v>
      </c>
      <c r="B10" s="786" t="s">
        <v>71</v>
      </c>
      <c r="C10" s="787" t="s">
        <v>838</v>
      </c>
      <c r="D10" s="787"/>
      <c r="E10" s="787"/>
      <c r="F10" s="787"/>
      <c r="G10" s="787" t="s">
        <v>839</v>
      </c>
      <c r="H10" s="787"/>
      <c r="I10" s="787"/>
      <c r="J10" s="787"/>
      <c r="K10" s="787" t="s">
        <v>840</v>
      </c>
      <c r="L10" s="787" t="s">
        <v>841</v>
      </c>
    </row>
    <row r="11" spans="1:12" ht="114.75">
      <c r="A11" s="785"/>
      <c r="B11" s="786"/>
      <c r="C11" s="560" t="s">
        <v>842</v>
      </c>
      <c r="D11" s="561" t="s">
        <v>843</v>
      </c>
      <c r="E11" s="561" t="s">
        <v>844</v>
      </c>
      <c r="F11" s="560" t="s">
        <v>845</v>
      </c>
      <c r="G11" s="560" t="s">
        <v>842</v>
      </c>
      <c r="H11" s="561" t="s">
        <v>843</v>
      </c>
      <c r="I11" s="561" t="s">
        <v>844</v>
      </c>
      <c r="J11" s="560" t="s">
        <v>845</v>
      </c>
      <c r="K11" s="787"/>
      <c r="L11" s="787"/>
    </row>
    <row r="12" spans="1:12" ht="14.25">
      <c r="A12" s="562">
        <v>1</v>
      </c>
      <c r="B12" s="563">
        <v>2</v>
      </c>
      <c r="C12" s="564">
        <v>3</v>
      </c>
      <c r="D12" s="563">
        <v>4</v>
      </c>
      <c r="E12" s="563">
        <v>5</v>
      </c>
      <c r="F12" s="564">
        <v>6</v>
      </c>
      <c r="G12" s="563">
        <v>7</v>
      </c>
      <c r="H12" s="563">
        <v>8</v>
      </c>
      <c r="I12" s="564">
        <v>9</v>
      </c>
      <c r="J12" s="563">
        <v>10</v>
      </c>
      <c r="K12" s="563">
        <v>11</v>
      </c>
      <c r="L12" s="564">
        <v>12</v>
      </c>
    </row>
    <row r="13" spans="1:12">
      <c r="A13" s="550">
        <v>1</v>
      </c>
      <c r="B13" s="565" t="s">
        <v>846</v>
      </c>
      <c r="C13" s="571" t="s">
        <v>7</v>
      </c>
      <c r="D13" s="571" t="s">
        <v>7</v>
      </c>
      <c r="E13" s="571" t="s">
        <v>7</v>
      </c>
      <c r="F13" s="571">
        <v>0</v>
      </c>
      <c r="G13" s="565">
        <v>458267000</v>
      </c>
      <c r="H13" s="565">
        <f>G13</f>
        <v>458267000</v>
      </c>
      <c r="I13" s="571" t="s">
        <v>7</v>
      </c>
      <c r="J13" s="565">
        <v>91351492</v>
      </c>
      <c r="K13" s="565">
        <f t="shared" ref="K13:K21" si="0">F13+J13</f>
        <v>91351492</v>
      </c>
      <c r="L13" s="571" t="s">
        <v>7</v>
      </c>
    </row>
    <row r="14" spans="1:12">
      <c r="A14" s="550">
        <v>2</v>
      </c>
      <c r="B14" s="551" t="s">
        <v>847</v>
      </c>
      <c r="C14" s="571" t="s">
        <v>7</v>
      </c>
      <c r="D14" s="571" t="s">
        <v>7</v>
      </c>
      <c r="E14" s="571" t="s">
        <v>7</v>
      </c>
      <c r="F14" s="571">
        <v>0</v>
      </c>
      <c r="G14" s="571">
        <v>0</v>
      </c>
      <c r="H14" s="565">
        <f t="shared" ref="H14:H21" si="1">G14</f>
        <v>0</v>
      </c>
      <c r="I14" s="571" t="s">
        <v>7</v>
      </c>
      <c r="J14" s="551">
        <v>0</v>
      </c>
      <c r="K14" s="571" t="s">
        <v>7</v>
      </c>
      <c r="L14" s="571" t="s">
        <v>7</v>
      </c>
    </row>
    <row r="15" spans="1:12">
      <c r="A15" s="550">
        <v>3</v>
      </c>
      <c r="B15" s="551" t="s">
        <v>848</v>
      </c>
      <c r="C15" s="565">
        <v>54161000</v>
      </c>
      <c r="D15" s="565">
        <v>54161000</v>
      </c>
      <c r="E15" s="571" t="s">
        <v>7</v>
      </c>
      <c r="F15" s="565">
        <v>54161000</v>
      </c>
      <c r="G15" s="565">
        <v>0</v>
      </c>
      <c r="H15" s="565">
        <f t="shared" si="1"/>
        <v>0</v>
      </c>
      <c r="I15" s="571" t="s">
        <v>7</v>
      </c>
      <c r="J15" s="551">
        <v>254921103</v>
      </c>
      <c r="K15" s="565">
        <f t="shared" si="0"/>
        <v>309082103</v>
      </c>
      <c r="L15" s="571" t="s">
        <v>7</v>
      </c>
    </row>
    <row r="16" spans="1:12">
      <c r="A16" s="550">
        <v>4</v>
      </c>
      <c r="B16" s="551" t="s">
        <v>849</v>
      </c>
      <c r="C16" s="565">
        <v>54161000</v>
      </c>
      <c r="D16" s="565">
        <v>54161000</v>
      </c>
      <c r="E16" s="571" t="s">
        <v>7</v>
      </c>
      <c r="F16" s="565">
        <v>54161000</v>
      </c>
      <c r="G16" s="565">
        <v>0</v>
      </c>
      <c r="H16" s="565">
        <f t="shared" si="1"/>
        <v>0</v>
      </c>
      <c r="I16" s="571" t="s">
        <v>7</v>
      </c>
      <c r="J16" s="551">
        <v>280362255</v>
      </c>
      <c r="K16" s="565">
        <f t="shared" si="0"/>
        <v>334523255</v>
      </c>
      <c r="L16" s="571" t="s">
        <v>7</v>
      </c>
    </row>
    <row r="17" spans="1:12">
      <c r="A17" s="550">
        <v>5</v>
      </c>
      <c r="B17" s="551" t="s">
        <v>850</v>
      </c>
      <c r="C17" s="565">
        <v>54181000</v>
      </c>
      <c r="D17" s="565">
        <v>54181000</v>
      </c>
      <c r="E17" s="571" t="s">
        <v>7</v>
      </c>
      <c r="F17" s="565">
        <v>54181000</v>
      </c>
      <c r="G17" s="565">
        <v>436362000</v>
      </c>
      <c r="H17" s="565">
        <f t="shared" si="1"/>
        <v>436362000</v>
      </c>
      <c r="I17" s="571" t="s">
        <v>7</v>
      </c>
      <c r="J17" s="551">
        <v>259352067</v>
      </c>
      <c r="K17" s="565">
        <f t="shared" si="0"/>
        <v>313533067</v>
      </c>
      <c r="L17" s="571" t="s">
        <v>7</v>
      </c>
    </row>
    <row r="18" spans="1:12">
      <c r="A18" s="550">
        <v>6</v>
      </c>
      <c r="B18" s="551" t="s">
        <v>851</v>
      </c>
      <c r="C18" s="565">
        <v>54181000</v>
      </c>
      <c r="D18" s="565">
        <v>54181000</v>
      </c>
      <c r="E18" s="571" t="s">
        <v>7</v>
      </c>
      <c r="F18" s="565">
        <v>54181000</v>
      </c>
      <c r="G18" s="565">
        <v>787868000</v>
      </c>
      <c r="H18" s="565">
        <f t="shared" si="1"/>
        <v>787868000</v>
      </c>
      <c r="I18" s="571" t="s">
        <v>7</v>
      </c>
      <c r="J18" s="551">
        <v>217043303</v>
      </c>
      <c r="K18" s="565">
        <f t="shared" si="0"/>
        <v>271224303</v>
      </c>
      <c r="L18" s="571" t="s">
        <v>7</v>
      </c>
    </row>
    <row r="19" spans="1:12">
      <c r="A19" s="550">
        <v>7</v>
      </c>
      <c r="B19" s="551" t="s">
        <v>852</v>
      </c>
      <c r="C19" s="565">
        <v>54201000</v>
      </c>
      <c r="D19" s="565">
        <v>54201000</v>
      </c>
      <c r="E19" s="571" t="s">
        <v>7</v>
      </c>
      <c r="F19" s="565">
        <v>54201000</v>
      </c>
      <c r="G19" s="565">
        <v>0</v>
      </c>
      <c r="H19" s="565">
        <f t="shared" si="1"/>
        <v>0</v>
      </c>
      <c r="I19" s="571" t="s">
        <v>7</v>
      </c>
      <c r="J19" s="551">
        <v>117604011</v>
      </c>
      <c r="K19" s="565">
        <f t="shared" si="0"/>
        <v>171805011</v>
      </c>
      <c r="L19" s="571" t="s">
        <v>7</v>
      </c>
    </row>
    <row r="20" spans="1:12">
      <c r="A20" s="550">
        <v>8</v>
      </c>
      <c r="B20" s="551" t="s">
        <v>853</v>
      </c>
      <c r="C20" s="565">
        <v>54201000</v>
      </c>
      <c r="D20" s="565">
        <v>54201000</v>
      </c>
      <c r="E20" s="571" t="s">
        <v>7</v>
      </c>
      <c r="F20" s="565">
        <v>54201000</v>
      </c>
      <c r="G20" s="565">
        <v>0</v>
      </c>
      <c r="H20" s="565">
        <f t="shared" si="1"/>
        <v>0</v>
      </c>
      <c r="I20" s="571" t="s">
        <v>7</v>
      </c>
      <c r="J20" s="551">
        <v>277099986</v>
      </c>
      <c r="K20" s="565">
        <f t="shared" si="0"/>
        <v>331300986</v>
      </c>
      <c r="L20" s="571" t="s">
        <v>7</v>
      </c>
    </row>
    <row r="21" spans="1:12">
      <c r="A21" s="550">
        <v>9</v>
      </c>
      <c r="B21" s="551" t="s">
        <v>854</v>
      </c>
      <c r="C21" s="565">
        <v>54201000</v>
      </c>
      <c r="D21" s="565">
        <v>54201000</v>
      </c>
      <c r="E21" s="571" t="s">
        <v>7</v>
      </c>
      <c r="F21" s="565">
        <v>54201000</v>
      </c>
      <c r="G21" s="565">
        <v>830722000</v>
      </c>
      <c r="H21" s="565">
        <f t="shared" si="1"/>
        <v>830722000</v>
      </c>
      <c r="I21" s="571" t="s">
        <v>7</v>
      </c>
      <c r="J21" s="551">
        <v>270230892</v>
      </c>
      <c r="K21" s="565">
        <f t="shared" si="0"/>
        <v>324431892</v>
      </c>
      <c r="L21" s="571" t="s">
        <v>7</v>
      </c>
    </row>
    <row r="22" spans="1:12" s="542" customFormat="1">
      <c r="A22" s="549" t="s">
        <v>16</v>
      </c>
      <c r="B22" s="554"/>
      <c r="C22" s="570">
        <f>SUM(C13:C21)</f>
        <v>379287000</v>
      </c>
      <c r="D22" s="570">
        <f>SUM(D13:D21)</f>
        <v>379287000</v>
      </c>
      <c r="E22" s="570">
        <f t="shared" ref="E22:L22" si="2">SUM(E13:E21)</f>
        <v>0</v>
      </c>
      <c r="F22" s="570">
        <f>SUM(F13:F21)</f>
        <v>379287000</v>
      </c>
      <c r="G22" s="570">
        <f>SUM(G13:G21)</f>
        <v>2513219000</v>
      </c>
      <c r="H22" s="570">
        <f>SUM(H13:H21)</f>
        <v>2513219000</v>
      </c>
      <c r="I22" s="570">
        <f t="shared" si="2"/>
        <v>0</v>
      </c>
      <c r="J22" s="570">
        <f>SUM(J13:J21)</f>
        <v>1767965109</v>
      </c>
      <c r="K22" s="570">
        <f>SUM(K13:K21)</f>
        <v>2147252109</v>
      </c>
      <c r="L22" s="570">
        <f t="shared" si="2"/>
        <v>0</v>
      </c>
    </row>
    <row r="24" spans="1:12" ht="15">
      <c r="A24" s="566" t="s">
        <v>855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41"/>
      <c r="L24" s="541"/>
    </row>
    <row r="25" spans="1:12">
      <c r="A25" s="789" t="s">
        <v>856</v>
      </c>
      <c r="B25" s="789"/>
      <c r="C25" s="789"/>
      <c r="D25" s="789"/>
      <c r="E25" s="789"/>
      <c r="F25" s="789"/>
      <c r="G25" s="789"/>
      <c r="H25" s="789"/>
      <c r="I25" s="789"/>
      <c r="J25" s="789"/>
      <c r="K25" s="541"/>
      <c r="L25" s="541"/>
    </row>
    <row r="26" spans="1:12">
      <c r="A26" s="789" t="s">
        <v>857</v>
      </c>
      <c r="B26" s="789"/>
      <c r="C26" s="789"/>
      <c r="D26" s="789"/>
      <c r="E26" s="567"/>
      <c r="F26" s="567"/>
      <c r="G26" s="567"/>
      <c r="H26" s="567"/>
      <c r="I26" s="567"/>
      <c r="J26" s="567"/>
      <c r="K26" s="541"/>
      <c r="L26" s="541"/>
    </row>
    <row r="27" spans="1:12">
      <c r="A27" s="569" t="s">
        <v>858</v>
      </c>
      <c r="B27" s="569"/>
      <c r="C27" s="569"/>
      <c r="D27" s="569"/>
      <c r="E27" s="569"/>
      <c r="F27" s="569"/>
      <c r="G27" s="569"/>
      <c r="H27" s="569"/>
      <c r="I27" s="789"/>
      <c r="J27" s="789"/>
      <c r="K27" s="541"/>
      <c r="L27" s="541"/>
    </row>
    <row r="28" spans="1:12">
      <c r="A28" s="790"/>
      <c r="B28" s="791"/>
      <c r="C28" s="791"/>
      <c r="D28" s="791"/>
      <c r="E28" s="791"/>
      <c r="F28" s="791"/>
      <c r="G28" s="791"/>
      <c r="H28" s="791"/>
      <c r="I28" s="789"/>
      <c r="J28" s="789"/>
      <c r="K28" s="541"/>
      <c r="L28" s="541"/>
    </row>
    <row r="29" spans="1:12" ht="15.75">
      <c r="A29" s="568"/>
      <c r="B29" s="569"/>
      <c r="C29" s="569"/>
      <c r="D29" s="569"/>
      <c r="E29" s="569"/>
      <c r="F29" s="569"/>
      <c r="G29" s="569"/>
      <c r="H29" s="569"/>
      <c r="I29" s="788" t="s">
        <v>908</v>
      </c>
      <c r="J29" s="788"/>
      <c r="K29" s="788"/>
      <c r="L29" s="788"/>
    </row>
    <row r="30" spans="1:12" ht="15.75">
      <c r="A30" s="568"/>
      <c r="B30" s="569"/>
      <c r="C30" s="569"/>
      <c r="D30" s="569"/>
      <c r="E30" s="569"/>
      <c r="F30" s="569"/>
      <c r="G30" s="569"/>
      <c r="H30" s="569"/>
      <c r="I30" s="788" t="s">
        <v>712</v>
      </c>
      <c r="J30" s="788"/>
      <c r="K30" s="788"/>
      <c r="L30" s="788"/>
    </row>
    <row r="31" spans="1:12">
      <c r="A31" s="568"/>
      <c r="B31" s="569"/>
      <c r="C31" s="569"/>
      <c r="D31" s="569"/>
      <c r="E31" s="569"/>
      <c r="F31" s="569"/>
      <c r="G31" s="569"/>
      <c r="H31" s="569"/>
      <c r="I31" s="568"/>
      <c r="J31" s="568"/>
      <c r="K31" s="541"/>
      <c r="L31" s="541"/>
    </row>
  </sheetData>
  <mergeCells count="20">
    <mergeCell ref="I29:L29"/>
    <mergeCell ref="I30:L30"/>
    <mergeCell ref="A25:J25"/>
    <mergeCell ref="A26:D26"/>
    <mergeCell ref="I27:J27"/>
    <mergeCell ref="A28:H28"/>
    <mergeCell ref="I28:J28"/>
    <mergeCell ref="J9:L9"/>
    <mergeCell ref="A10:A11"/>
    <mergeCell ref="B10:B11"/>
    <mergeCell ref="C10:F10"/>
    <mergeCell ref="G10:J10"/>
    <mergeCell ref="K10:K11"/>
    <mergeCell ref="L10:L11"/>
    <mergeCell ref="A8:C8"/>
    <mergeCell ref="A1:K1"/>
    <mergeCell ref="A2:L2"/>
    <mergeCell ref="A4:L4"/>
    <mergeCell ref="A7:C7"/>
    <mergeCell ref="K7:L7"/>
  </mergeCells>
  <printOptions horizontalCentered="1"/>
  <pageMargins left="0.7" right="0.7" top="0.75" bottom="0.75" header="0.3" footer="0.3"/>
  <pageSetup paperSize="9" scale="7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topLeftCell="A2" zoomScaleNormal="70" zoomScaleSheetLayoutView="100" workbookViewId="0">
      <selection activeCell="C11" sqref="C11:P44"/>
    </sheetView>
  </sheetViews>
  <sheetFormatPr defaultColWidth="9.140625" defaultRowHeight="12.75"/>
  <cols>
    <col min="1" max="1" width="5.5703125" style="288" customWidth="1"/>
    <col min="2" max="2" width="19.28515625" style="288" customWidth="1"/>
    <col min="3" max="3" width="10.28515625" style="288" customWidth="1"/>
    <col min="4" max="4" width="12.85546875" style="288" customWidth="1"/>
    <col min="5" max="5" width="8.7109375" style="288" customWidth="1"/>
    <col min="6" max="7" width="8" style="288" customWidth="1"/>
    <col min="8" max="10" width="8.140625" style="288" customWidth="1"/>
    <col min="11" max="11" width="8.42578125" style="288" customWidth="1"/>
    <col min="12" max="12" width="8.140625" style="288" customWidth="1"/>
    <col min="13" max="13" width="11.28515625" style="288" customWidth="1"/>
    <col min="14" max="14" width="11.85546875" style="288" customWidth="1"/>
    <col min="15" max="16384" width="9.140625" style="288"/>
  </cols>
  <sheetData>
    <row r="1" spans="1:16" ht="12.75" customHeight="1">
      <c r="A1" s="128"/>
      <c r="B1" s="128"/>
      <c r="C1" s="128"/>
      <c r="D1" s="999"/>
      <c r="E1" s="999"/>
      <c r="F1" s="128"/>
      <c r="G1" s="128"/>
      <c r="H1" s="128"/>
      <c r="I1" s="128"/>
      <c r="J1" s="128"/>
      <c r="K1" s="128"/>
      <c r="L1" s="128"/>
      <c r="O1" s="1001" t="s">
        <v>566</v>
      </c>
      <c r="P1" s="1001"/>
    </row>
    <row r="2" spans="1:16" ht="15.7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1:16" ht="18">
      <c r="A3" s="1012" t="s">
        <v>737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16" ht="9.75" customHeight="1">
      <c r="A4" s="1028" t="s">
        <v>675</v>
      </c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</row>
    <row r="5" spans="1:16" s="359" customFormat="1" ht="18.75" customHeight="1">
      <c r="A5" s="1028"/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</row>
    <row r="6" spans="1:16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</row>
    <row r="7" spans="1:16">
      <c r="A7" s="1007" t="s">
        <v>658</v>
      </c>
      <c r="B7" s="1007"/>
      <c r="C7" s="128"/>
      <c r="D7" s="187"/>
      <c r="E7" s="128"/>
      <c r="F7" s="128"/>
      <c r="G7" s="128"/>
      <c r="H7" s="1003"/>
      <c r="I7" s="1003"/>
      <c r="J7" s="1003"/>
      <c r="K7" s="1003"/>
      <c r="L7" s="1003"/>
      <c r="M7" s="1003"/>
      <c r="N7" s="1003"/>
    </row>
    <row r="8" spans="1:16" ht="24.75" customHeight="1">
      <c r="A8" s="1013" t="s">
        <v>2</v>
      </c>
      <c r="B8" s="1013" t="s">
        <v>3</v>
      </c>
      <c r="C8" s="1017" t="s">
        <v>482</v>
      </c>
      <c r="D8" s="1008" t="s">
        <v>80</v>
      </c>
      <c r="E8" s="1004" t="s">
        <v>81</v>
      </c>
      <c r="F8" s="1005"/>
      <c r="G8" s="1005"/>
      <c r="H8" s="1006"/>
      <c r="I8" s="923" t="s">
        <v>560</v>
      </c>
      <c r="J8" s="923"/>
      <c r="K8" s="923"/>
      <c r="L8" s="923"/>
      <c r="M8" s="923"/>
      <c r="N8" s="923"/>
      <c r="O8" s="1010" t="s">
        <v>724</v>
      </c>
      <c r="P8" s="1010"/>
    </row>
    <row r="9" spans="1:16" ht="44.45" customHeight="1">
      <c r="A9" s="1013"/>
      <c r="B9" s="1013"/>
      <c r="C9" s="1018"/>
      <c r="D9" s="1009"/>
      <c r="E9" s="183" t="s">
        <v>176</v>
      </c>
      <c r="F9" s="183" t="s">
        <v>110</v>
      </c>
      <c r="G9" s="183" t="s">
        <v>111</v>
      </c>
      <c r="H9" s="183" t="s">
        <v>430</v>
      </c>
      <c r="I9" s="183" t="s">
        <v>16</v>
      </c>
      <c r="J9" s="183" t="s">
        <v>561</v>
      </c>
      <c r="K9" s="183" t="s">
        <v>562</v>
      </c>
      <c r="L9" s="183" t="s">
        <v>563</v>
      </c>
      <c r="M9" s="183" t="s">
        <v>564</v>
      </c>
      <c r="N9" s="183" t="s">
        <v>565</v>
      </c>
      <c r="O9" s="452" t="s">
        <v>725</v>
      </c>
      <c r="P9" s="452" t="s">
        <v>726</v>
      </c>
    </row>
    <row r="10" spans="1:16" s="360" customFormat="1">
      <c r="A10" s="183">
        <v>1</v>
      </c>
      <c r="B10" s="183">
        <v>2</v>
      </c>
      <c r="C10" s="183">
        <v>3</v>
      </c>
      <c r="D10" s="183">
        <v>8</v>
      </c>
      <c r="E10" s="183">
        <v>9</v>
      </c>
      <c r="F10" s="183">
        <v>10</v>
      </c>
      <c r="G10" s="183">
        <v>11</v>
      </c>
      <c r="H10" s="183">
        <v>12</v>
      </c>
      <c r="I10" s="183">
        <v>13</v>
      </c>
      <c r="J10" s="183">
        <v>14</v>
      </c>
      <c r="K10" s="183">
        <v>15</v>
      </c>
      <c r="L10" s="183">
        <v>16</v>
      </c>
      <c r="M10" s="183">
        <v>17</v>
      </c>
      <c r="N10" s="183">
        <v>18</v>
      </c>
      <c r="O10" s="494">
        <v>19</v>
      </c>
      <c r="P10" s="494">
        <v>20</v>
      </c>
    </row>
    <row r="11" spans="1:16" s="360" customFormat="1" ht="12.75" customHeight="1">
      <c r="A11" s="204">
        <v>1</v>
      </c>
      <c r="B11" s="204" t="s">
        <v>624</v>
      </c>
      <c r="C11" s="1019" t="s">
        <v>629</v>
      </c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1"/>
    </row>
    <row r="12" spans="1:16" s="360" customFormat="1" ht="12.75" customHeight="1">
      <c r="A12" s="204">
        <f>A11+1</f>
        <v>2</v>
      </c>
      <c r="B12" s="204" t="s">
        <v>589</v>
      </c>
      <c r="C12" s="1022"/>
      <c r="D12" s="1023"/>
      <c r="E12" s="1023"/>
      <c r="F12" s="1023"/>
      <c r="G12" s="1023"/>
      <c r="H12" s="1023"/>
      <c r="I12" s="1023"/>
      <c r="J12" s="1023"/>
      <c r="K12" s="1023"/>
      <c r="L12" s="1023"/>
      <c r="M12" s="1023"/>
      <c r="N12" s="1023"/>
      <c r="O12" s="1023"/>
      <c r="P12" s="1024"/>
    </row>
    <row r="13" spans="1:16" s="360" customFormat="1" ht="12.75" customHeight="1">
      <c r="A13" s="204">
        <f t="shared" ref="A13:A43" si="0">A12+1</f>
        <v>3</v>
      </c>
      <c r="B13" s="204" t="s">
        <v>625</v>
      </c>
      <c r="C13" s="1022"/>
      <c r="D13" s="1023"/>
      <c r="E13" s="1023"/>
      <c r="F13" s="1023"/>
      <c r="G13" s="1023"/>
      <c r="H13" s="1023"/>
      <c r="I13" s="1023"/>
      <c r="J13" s="1023"/>
      <c r="K13" s="1023"/>
      <c r="L13" s="1023"/>
      <c r="M13" s="1023"/>
      <c r="N13" s="1023"/>
      <c r="O13" s="1023"/>
      <c r="P13" s="1024"/>
    </row>
    <row r="14" spans="1:16" s="360" customFormat="1" ht="12.75" customHeight="1">
      <c r="A14" s="204">
        <f t="shared" si="0"/>
        <v>4</v>
      </c>
      <c r="B14" s="204" t="s">
        <v>590</v>
      </c>
      <c r="C14" s="1022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4"/>
    </row>
    <row r="15" spans="1:16" s="360" customFormat="1" ht="12.75" customHeight="1">
      <c r="A15" s="204">
        <f t="shared" si="0"/>
        <v>5</v>
      </c>
      <c r="B15" s="204" t="s">
        <v>591</v>
      </c>
      <c r="C15" s="1022"/>
      <c r="D15" s="1023"/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4"/>
    </row>
    <row r="16" spans="1:16" s="360" customFormat="1" ht="12.75" customHeight="1">
      <c r="A16" s="204">
        <f t="shared" si="0"/>
        <v>6</v>
      </c>
      <c r="B16" s="204" t="s">
        <v>592</v>
      </c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4"/>
    </row>
    <row r="17" spans="1:16" s="360" customFormat="1" ht="12.75" customHeight="1">
      <c r="A17" s="204">
        <f t="shared" si="0"/>
        <v>7</v>
      </c>
      <c r="B17" s="204" t="s">
        <v>593</v>
      </c>
      <c r="C17" s="1022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4"/>
    </row>
    <row r="18" spans="1:16" s="360" customFormat="1" ht="12.75" customHeight="1">
      <c r="A18" s="204">
        <f t="shared" si="0"/>
        <v>8</v>
      </c>
      <c r="B18" s="204" t="s">
        <v>594</v>
      </c>
      <c r="C18" s="1022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4"/>
    </row>
    <row r="19" spans="1:16" s="360" customFormat="1" ht="12.75" customHeight="1">
      <c r="A19" s="204">
        <f t="shared" si="0"/>
        <v>9</v>
      </c>
      <c r="B19" s="204" t="s">
        <v>595</v>
      </c>
      <c r="C19" s="1022"/>
      <c r="D19" s="1023"/>
      <c r="E19" s="1023"/>
      <c r="F19" s="1023"/>
      <c r="G19" s="1023"/>
      <c r="H19" s="1023"/>
      <c r="I19" s="1023"/>
      <c r="J19" s="1023"/>
      <c r="K19" s="1023"/>
      <c r="L19" s="1023"/>
      <c r="M19" s="1023"/>
      <c r="N19" s="1023"/>
      <c r="O19" s="1023"/>
      <c r="P19" s="1024"/>
    </row>
    <row r="20" spans="1:16" s="360" customFormat="1" ht="12.75" customHeight="1">
      <c r="A20" s="204">
        <f t="shared" si="0"/>
        <v>10</v>
      </c>
      <c r="B20" s="204" t="s">
        <v>596</v>
      </c>
      <c r="C20" s="1022"/>
      <c r="D20" s="1023"/>
      <c r="E20" s="1023"/>
      <c r="F20" s="1023"/>
      <c r="G20" s="1023"/>
      <c r="H20" s="1023"/>
      <c r="I20" s="1023"/>
      <c r="J20" s="1023"/>
      <c r="K20" s="1023"/>
      <c r="L20" s="1023"/>
      <c r="M20" s="1023"/>
      <c r="N20" s="1023"/>
      <c r="O20" s="1023"/>
      <c r="P20" s="1024"/>
    </row>
    <row r="21" spans="1:16" s="360" customFormat="1" ht="12.75" customHeight="1">
      <c r="A21" s="204">
        <f t="shared" si="0"/>
        <v>11</v>
      </c>
      <c r="B21" s="204" t="s">
        <v>626</v>
      </c>
      <c r="C21" s="1022"/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  <c r="O21" s="1023"/>
      <c r="P21" s="1024"/>
    </row>
    <row r="22" spans="1:16" s="360" customFormat="1" ht="12.75" customHeight="1">
      <c r="A22" s="204">
        <f t="shared" si="0"/>
        <v>12</v>
      </c>
      <c r="B22" s="204" t="s">
        <v>597</v>
      </c>
      <c r="C22" s="1022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4"/>
    </row>
    <row r="23" spans="1:16" s="360" customFormat="1" ht="12.75" customHeight="1">
      <c r="A23" s="204">
        <f t="shared" si="0"/>
        <v>13</v>
      </c>
      <c r="B23" s="204" t="s">
        <v>598</v>
      </c>
      <c r="C23" s="1022"/>
      <c r="D23" s="1023"/>
      <c r="E23" s="1023"/>
      <c r="F23" s="1023"/>
      <c r="G23" s="1023"/>
      <c r="H23" s="1023"/>
      <c r="I23" s="1023"/>
      <c r="J23" s="1023"/>
      <c r="K23" s="1023"/>
      <c r="L23" s="1023"/>
      <c r="M23" s="1023"/>
      <c r="N23" s="1023"/>
      <c r="O23" s="1023"/>
      <c r="P23" s="1024"/>
    </row>
    <row r="24" spans="1:16" s="360" customFormat="1" ht="12.75" customHeight="1">
      <c r="A24" s="204">
        <f t="shared" si="0"/>
        <v>14</v>
      </c>
      <c r="B24" s="204" t="s">
        <v>627</v>
      </c>
      <c r="C24" s="1022"/>
      <c r="D24" s="1023"/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4"/>
    </row>
    <row r="25" spans="1:16" s="360" customFormat="1" ht="12.75" customHeight="1">
      <c r="A25" s="204">
        <f t="shared" si="0"/>
        <v>15</v>
      </c>
      <c r="B25" s="204" t="s">
        <v>599</v>
      </c>
      <c r="C25" s="1022"/>
      <c r="D25" s="1023"/>
      <c r="E25" s="1023"/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4"/>
    </row>
    <row r="26" spans="1:16" ht="12.75" customHeight="1">
      <c r="A26" s="204">
        <f t="shared" si="0"/>
        <v>16</v>
      </c>
      <c r="B26" s="204" t="s">
        <v>600</v>
      </c>
      <c r="C26" s="1022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4"/>
    </row>
    <row r="27" spans="1:16" ht="12.75" customHeight="1">
      <c r="A27" s="204">
        <f t="shared" si="0"/>
        <v>17</v>
      </c>
      <c r="B27" s="426" t="s">
        <v>684</v>
      </c>
      <c r="C27" s="1022"/>
      <c r="D27" s="1023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4"/>
    </row>
    <row r="28" spans="1:16" ht="12.75" customHeight="1">
      <c r="A28" s="204">
        <f t="shared" si="0"/>
        <v>18</v>
      </c>
      <c r="B28" s="204" t="s">
        <v>601</v>
      </c>
      <c r="C28" s="1022"/>
      <c r="D28" s="1023"/>
      <c r="E28" s="1023"/>
      <c r="F28" s="1023"/>
      <c r="G28" s="1023"/>
      <c r="H28" s="1023"/>
      <c r="I28" s="1023"/>
      <c r="J28" s="1023"/>
      <c r="K28" s="1023"/>
      <c r="L28" s="1023"/>
      <c r="M28" s="1023"/>
      <c r="N28" s="1023"/>
      <c r="O28" s="1023"/>
      <c r="P28" s="1024"/>
    </row>
    <row r="29" spans="1:16" ht="12.75" customHeight="1">
      <c r="A29" s="204">
        <f t="shared" si="0"/>
        <v>19</v>
      </c>
      <c r="B29" s="204" t="s">
        <v>602</v>
      </c>
      <c r="C29" s="1022"/>
      <c r="D29" s="1023"/>
      <c r="E29" s="1023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4"/>
    </row>
    <row r="30" spans="1:16" ht="12.75" customHeight="1">
      <c r="A30" s="204">
        <f t="shared" si="0"/>
        <v>20</v>
      </c>
      <c r="B30" s="426" t="s">
        <v>683</v>
      </c>
      <c r="C30" s="1022"/>
      <c r="D30" s="1023"/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4"/>
    </row>
    <row r="31" spans="1:16" ht="12.75" customHeight="1">
      <c r="A31" s="204">
        <f t="shared" si="0"/>
        <v>21</v>
      </c>
      <c r="B31" s="204" t="s">
        <v>628</v>
      </c>
      <c r="C31" s="1022"/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4"/>
    </row>
    <row r="32" spans="1:16" ht="12.75" customHeight="1">
      <c r="A32" s="204">
        <f t="shared" si="0"/>
        <v>22</v>
      </c>
      <c r="B32" s="204" t="s">
        <v>603</v>
      </c>
      <c r="C32" s="1022"/>
      <c r="D32" s="1023"/>
      <c r="E32" s="1023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4"/>
    </row>
    <row r="33" spans="1:16" ht="12.75" customHeight="1">
      <c r="A33" s="204">
        <f t="shared" si="0"/>
        <v>23</v>
      </c>
      <c r="B33" s="204" t="s">
        <v>604</v>
      </c>
      <c r="C33" s="1022"/>
      <c r="D33" s="1023"/>
      <c r="E33" s="1023"/>
      <c r="F33" s="1023"/>
      <c r="G33" s="1023"/>
      <c r="H33" s="1023"/>
      <c r="I33" s="1023"/>
      <c r="J33" s="1023"/>
      <c r="K33" s="1023"/>
      <c r="L33" s="1023"/>
      <c r="M33" s="1023"/>
      <c r="N33" s="1023"/>
      <c r="O33" s="1023"/>
      <c r="P33" s="1024"/>
    </row>
    <row r="34" spans="1:16" ht="12.75" customHeight="1">
      <c r="A34" s="204">
        <f t="shared" si="0"/>
        <v>24</v>
      </c>
      <c r="B34" s="204" t="s">
        <v>605</v>
      </c>
      <c r="C34" s="1022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4"/>
    </row>
    <row r="35" spans="1:16" ht="12.75" customHeight="1">
      <c r="A35" s="204">
        <f t="shared" si="0"/>
        <v>25</v>
      </c>
      <c r="B35" s="204" t="s">
        <v>606</v>
      </c>
      <c r="C35" s="1022"/>
      <c r="D35" s="1023"/>
      <c r="E35" s="1023"/>
      <c r="F35" s="1023"/>
      <c r="G35" s="1023"/>
      <c r="H35" s="1023"/>
      <c r="I35" s="1023"/>
      <c r="J35" s="1023"/>
      <c r="K35" s="1023"/>
      <c r="L35" s="1023"/>
      <c r="M35" s="1023"/>
      <c r="N35" s="1023"/>
      <c r="O35" s="1023"/>
      <c r="P35" s="1024"/>
    </row>
    <row r="36" spans="1:16" ht="12.75" customHeight="1">
      <c r="A36" s="204">
        <f t="shared" si="0"/>
        <v>26</v>
      </c>
      <c r="B36" s="204" t="s">
        <v>607</v>
      </c>
      <c r="C36" s="1022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4"/>
    </row>
    <row r="37" spans="1:16" ht="12.75" customHeight="1">
      <c r="A37" s="204">
        <f t="shared" si="0"/>
        <v>27</v>
      </c>
      <c r="B37" s="204" t="s">
        <v>608</v>
      </c>
      <c r="C37" s="1022"/>
      <c r="D37" s="1023"/>
      <c r="E37" s="1023"/>
      <c r="F37" s="1023"/>
      <c r="G37" s="1023"/>
      <c r="H37" s="1023"/>
      <c r="I37" s="1023"/>
      <c r="J37" s="1023"/>
      <c r="K37" s="1023"/>
      <c r="L37" s="1023"/>
      <c r="M37" s="1023"/>
      <c r="N37" s="1023"/>
      <c r="O37" s="1023"/>
      <c r="P37" s="1024"/>
    </row>
    <row r="38" spans="1:16" ht="12.75" customHeight="1">
      <c r="A38" s="204">
        <f t="shared" si="0"/>
        <v>28</v>
      </c>
      <c r="B38" s="204" t="s">
        <v>609</v>
      </c>
      <c r="C38" s="1022"/>
      <c r="D38" s="1023"/>
      <c r="E38" s="1023"/>
      <c r="F38" s="1023"/>
      <c r="G38" s="1023"/>
      <c r="H38" s="1023"/>
      <c r="I38" s="1023"/>
      <c r="J38" s="1023"/>
      <c r="K38" s="1023"/>
      <c r="L38" s="1023"/>
      <c r="M38" s="1023"/>
      <c r="N38" s="1023"/>
      <c r="O38" s="1023"/>
      <c r="P38" s="1024"/>
    </row>
    <row r="39" spans="1:16" ht="12.75" customHeight="1">
      <c r="A39" s="204">
        <f t="shared" si="0"/>
        <v>29</v>
      </c>
      <c r="B39" s="204" t="s">
        <v>610</v>
      </c>
      <c r="C39" s="1022"/>
      <c r="D39" s="1023"/>
      <c r="E39" s="1023"/>
      <c r="F39" s="1023"/>
      <c r="G39" s="1023"/>
      <c r="H39" s="1023"/>
      <c r="I39" s="1023"/>
      <c r="J39" s="1023"/>
      <c r="K39" s="1023"/>
      <c r="L39" s="1023"/>
      <c r="M39" s="1023"/>
      <c r="N39" s="1023"/>
      <c r="O39" s="1023"/>
      <c r="P39" s="1024"/>
    </row>
    <row r="40" spans="1:16" ht="12.75" customHeight="1">
      <c r="A40" s="204">
        <f t="shared" si="0"/>
        <v>30</v>
      </c>
      <c r="B40" s="143" t="s">
        <v>611</v>
      </c>
      <c r="C40" s="1022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4"/>
    </row>
    <row r="41" spans="1:16" ht="12.75" customHeight="1">
      <c r="A41" s="204">
        <f t="shared" si="0"/>
        <v>31</v>
      </c>
      <c r="B41" s="143" t="s">
        <v>612</v>
      </c>
      <c r="C41" s="1022"/>
      <c r="D41" s="1023"/>
      <c r="E41" s="1023"/>
      <c r="F41" s="1023"/>
      <c r="G41" s="1023"/>
      <c r="H41" s="1023"/>
      <c r="I41" s="1023"/>
      <c r="J41" s="1023"/>
      <c r="K41" s="1023"/>
      <c r="L41" s="1023"/>
      <c r="M41" s="1023"/>
      <c r="N41" s="1023"/>
      <c r="O41" s="1023"/>
      <c r="P41" s="1024"/>
    </row>
    <row r="42" spans="1:16" ht="12.75" customHeight="1">
      <c r="A42" s="204">
        <f t="shared" si="0"/>
        <v>32</v>
      </c>
      <c r="B42" s="143" t="s">
        <v>613</v>
      </c>
      <c r="C42" s="1022"/>
      <c r="D42" s="1023"/>
      <c r="E42" s="1023"/>
      <c r="F42" s="1023"/>
      <c r="G42" s="1023"/>
      <c r="H42" s="1023"/>
      <c r="I42" s="1023"/>
      <c r="J42" s="1023"/>
      <c r="K42" s="1023"/>
      <c r="L42" s="1023"/>
      <c r="M42" s="1023"/>
      <c r="N42" s="1023"/>
      <c r="O42" s="1023"/>
      <c r="P42" s="1024"/>
    </row>
    <row r="43" spans="1:16" ht="12.75" customHeight="1">
      <c r="A43" s="204">
        <f t="shared" si="0"/>
        <v>33</v>
      </c>
      <c r="B43" s="143" t="s">
        <v>614</v>
      </c>
      <c r="C43" s="1022"/>
      <c r="D43" s="1023"/>
      <c r="E43" s="1023"/>
      <c r="F43" s="1023"/>
      <c r="G43" s="1023"/>
      <c r="H43" s="1023"/>
      <c r="I43" s="1023"/>
      <c r="J43" s="1023"/>
      <c r="K43" s="1023"/>
      <c r="L43" s="1023"/>
      <c r="M43" s="1023"/>
      <c r="N43" s="1023"/>
      <c r="O43" s="1023"/>
      <c r="P43" s="1024"/>
    </row>
    <row r="44" spans="1:16" ht="12.75" customHeight="1">
      <c r="A44" s="151"/>
      <c r="B44" s="151" t="s">
        <v>615</v>
      </c>
      <c r="C44" s="1025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7"/>
    </row>
    <row r="45" spans="1:16">
      <c r="A45" s="130"/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6">
      <c r="A46" s="130"/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6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9" spans="1:14">
      <c r="A49" s="1002"/>
      <c r="B49" s="1002"/>
      <c r="C49" s="1002"/>
      <c r="D49" s="1002"/>
      <c r="E49" s="1002"/>
      <c r="F49" s="1002"/>
      <c r="G49" s="1002"/>
      <c r="H49" s="1002"/>
      <c r="I49" s="1002"/>
      <c r="J49" s="1002"/>
      <c r="K49" s="1002"/>
      <c r="L49" s="1002"/>
      <c r="M49" s="1002"/>
      <c r="N49" s="1002"/>
    </row>
    <row r="50" spans="1:14">
      <c r="J50" s="1029" t="s">
        <v>908</v>
      </c>
      <c r="K50" s="1029"/>
      <c r="L50" s="1029"/>
      <c r="M50" s="1029"/>
      <c r="N50" s="1029"/>
    </row>
    <row r="51" spans="1:14">
      <c r="J51" s="1029" t="s">
        <v>646</v>
      </c>
      <c r="K51" s="1029"/>
      <c r="L51" s="1029"/>
      <c r="M51" s="1029"/>
      <c r="N51" s="1029"/>
    </row>
  </sheetData>
  <mergeCells count="19">
    <mergeCell ref="J50:N50"/>
    <mergeCell ref="J51:N51"/>
    <mergeCell ref="A49:N49"/>
    <mergeCell ref="C8:C9"/>
    <mergeCell ref="A7:B7"/>
    <mergeCell ref="H7:N7"/>
    <mergeCell ref="A8:A9"/>
    <mergeCell ref="B8:B9"/>
    <mergeCell ref="D8:D9"/>
    <mergeCell ref="E8:H8"/>
    <mergeCell ref="I8:N8"/>
    <mergeCell ref="A6:N6"/>
    <mergeCell ref="D1:E1"/>
    <mergeCell ref="O1:P1"/>
    <mergeCell ref="O8:P8"/>
    <mergeCell ref="C11:P44"/>
    <mergeCell ref="A2:P2"/>
    <mergeCell ref="A3:P3"/>
    <mergeCell ref="A4:P5"/>
  </mergeCells>
  <printOptions horizontalCentered="1"/>
  <pageMargins left="0.46" right="0.41" top="0.48" bottom="0" header="0.31496062992125984" footer="0.31496062992125984"/>
  <pageSetup paperSize="9" scale="78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topLeftCell="A43" zoomScaleNormal="70" zoomScaleSheetLayoutView="100" workbookViewId="0">
      <selection activeCell="J50" sqref="J50:N50"/>
    </sheetView>
  </sheetViews>
  <sheetFormatPr defaultColWidth="9.140625" defaultRowHeight="12.75"/>
  <cols>
    <col min="1" max="1" width="5.5703125" style="288" customWidth="1"/>
    <col min="2" max="2" width="18.140625" style="288" customWidth="1"/>
    <col min="3" max="3" width="10.28515625" style="288" customWidth="1"/>
    <col min="4" max="4" width="12.85546875" style="288" customWidth="1"/>
    <col min="5" max="5" width="8.7109375" style="288" customWidth="1"/>
    <col min="6" max="7" width="8" style="288" customWidth="1"/>
    <col min="8" max="10" width="8.140625" style="288" customWidth="1"/>
    <col min="11" max="11" width="8.42578125" style="288" customWidth="1"/>
    <col min="12" max="12" width="8.140625" style="288" customWidth="1"/>
    <col min="13" max="13" width="11.28515625" style="288" customWidth="1"/>
    <col min="14" max="14" width="11.85546875" style="288" customWidth="1"/>
    <col min="15" max="16384" width="9.140625" style="288"/>
  </cols>
  <sheetData>
    <row r="1" spans="1:16" ht="12.75" customHeight="1">
      <c r="A1" s="128"/>
      <c r="B1" s="128"/>
      <c r="C1" s="128"/>
      <c r="D1" s="999"/>
      <c r="E1" s="999"/>
      <c r="F1" s="128"/>
      <c r="G1" s="128"/>
      <c r="H1" s="128"/>
      <c r="I1" s="128"/>
      <c r="J1" s="128"/>
      <c r="K1" s="128"/>
      <c r="L1" s="128"/>
      <c r="O1" s="1001" t="s">
        <v>579</v>
      </c>
      <c r="P1" s="1001"/>
    </row>
    <row r="2" spans="1:16" ht="15.75">
      <c r="A2" s="1011" t="s">
        <v>0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</row>
    <row r="3" spans="1:16" ht="18">
      <c r="A3" s="1012" t="s">
        <v>737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16" ht="9.75" customHeight="1">
      <c r="A4" s="1030" t="s">
        <v>676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</row>
    <row r="5" spans="1:16" s="359" customFormat="1" ht="18.75" customHeight="1">
      <c r="A5" s="1030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</row>
    <row r="6" spans="1:16">
      <c r="A6" s="1000"/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</row>
    <row r="7" spans="1:16">
      <c r="A7" s="1007" t="s">
        <v>658</v>
      </c>
      <c r="B7" s="1007"/>
      <c r="C7" s="128"/>
      <c r="D7" s="187"/>
      <c r="E7" s="128"/>
      <c r="F7" s="128"/>
      <c r="G7" s="128"/>
      <c r="H7" s="1003"/>
      <c r="I7" s="1003"/>
      <c r="J7" s="1003"/>
      <c r="K7" s="1003"/>
      <c r="L7" s="1003"/>
      <c r="M7" s="1003"/>
      <c r="N7" s="1003"/>
    </row>
    <row r="8" spans="1:16" ht="24.75" customHeight="1">
      <c r="A8" s="1013" t="s">
        <v>2</v>
      </c>
      <c r="B8" s="1013" t="s">
        <v>3</v>
      </c>
      <c r="C8" s="1017" t="s">
        <v>482</v>
      </c>
      <c r="D8" s="1008" t="s">
        <v>80</v>
      </c>
      <c r="E8" s="1004" t="s">
        <v>81</v>
      </c>
      <c r="F8" s="1005"/>
      <c r="G8" s="1005"/>
      <c r="H8" s="1006"/>
      <c r="I8" s="923" t="s">
        <v>560</v>
      </c>
      <c r="J8" s="923"/>
      <c r="K8" s="923"/>
      <c r="L8" s="923"/>
      <c r="M8" s="923"/>
      <c r="N8" s="923"/>
      <c r="O8" s="1010" t="s">
        <v>724</v>
      </c>
      <c r="P8" s="1010"/>
    </row>
    <row r="9" spans="1:16" ht="44.45" customHeight="1">
      <c r="A9" s="1013"/>
      <c r="B9" s="1013"/>
      <c r="C9" s="1018"/>
      <c r="D9" s="1009"/>
      <c r="E9" s="452" t="s">
        <v>176</v>
      </c>
      <c r="F9" s="452" t="s">
        <v>110</v>
      </c>
      <c r="G9" s="452" t="s">
        <v>111</v>
      </c>
      <c r="H9" s="452" t="s">
        <v>430</v>
      </c>
      <c r="I9" s="452" t="s">
        <v>16</v>
      </c>
      <c r="J9" s="452" t="s">
        <v>561</v>
      </c>
      <c r="K9" s="452" t="s">
        <v>562</v>
      </c>
      <c r="L9" s="452" t="s">
        <v>563</v>
      </c>
      <c r="M9" s="452" t="s">
        <v>564</v>
      </c>
      <c r="N9" s="452" t="s">
        <v>565</v>
      </c>
      <c r="O9" s="452" t="s">
        <v>725</v>
      </c>
      <c r="P9" s="452" t="s">
        <v>726</v>
      </c>
    </row>
    <row r="10" spans="1:16" s="360" customFormat="1">
      <c r="A10" s="452">
        <v>1</v>
      </c>
      <c r="B10" s="452">
        <v>2</v>
      </c>
      <c r="C10" s="452">
        <v>3</v>
      </c>
      <c r="D10" s="452">
        <v>8</v>
      </c>
      <c r="E10" s="452">
        <v>9</v>
      </c>
      <c r="F10" s="452">
        <v>10</v>
      </c>
      <c r="G10" s="452">
        <v>11</v>
      </c>
      <c r="H10" s="452">
        <v>12</v>
      </c>
      <c r="I10" s="452">
        <v>13</v>
      </c>
      <c r="J10" s="452">
        <v>14</v>
      </c>
      <c r="K10" s="452">
        <v>15</v>
      </c>
      <c r="L10" s="452">
        <v>16</v>
      </c>
      <c r="M10" s="452">
        <v>17</v>
      </c>
      <c r="N10" s="452">
        <v>18</v>
      </c>
      <c r="O10" s="494">
        <v>19</v>
      </c>
      <c r="P10" s="494">
        <v>20</v>
      </c>
    </row>
    <row r="11" spans="1:16" s="360" customFormat="1" ht="12.75" customHeight="1">
      <c r="A11" s="204">
        <v>1</v>
      </c>
      <c r="B11" s="204" t="s">
        <v>624</v>
      </c>
      <c r="C11" s="1019" t="s">
        <v>629</v>
      </c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1"/>
    </row>
    <row r="12" spans="1:16" s="360" customFormat="1" ht="12.75" customHeight="1">
      <c r="A12" s="204">
        <f>A11+1</f>
        <v>2</v>
      </c>
      <c r="B12" s="204" t="s">
        <v>589</v>
      </c>
      <c r="C12" s="1022"/>
      <c r="D12" s="1023"/>
      <c r="E12" s="1023"/>
      <c r="F12" s="1023"/>
      <c r="G12" s="1023"/>
      <c r="H12" s="1023"/>
      <c r="I12" s="1023"/>
      <c r="J12" s="1023"/>
      <c r="K12" s="1023"/>
      <c r="L12" s="1023"/>
      <c r="M12" s="1023"/>
      <c r="N12" s="1023"/>
      <c r="O12" s="1023"/>
      <c r="P12" s="1024"/>
    </row>
    <row r="13" spans="1:16" s="360" customFormat="1" ht="12.75" customHeight="1">
      <c r="A13" s="204">
        <f t="shared" ref="A13:A43" si="0">A12+1</f>
        <v>3</v>
      </c>
      <c r="B13" s="204" t="s">
        <v>625</v>
      </c>
      <c r="C13" s="1022"/>
      <c r="D13" s="1023"/>
      <c r="E13" s="1023"/>
      <c r="F13" s="1023"/>
      <c r="G13" s="1023"/>
      <c r="H13" s="1023"/>
      <c r="I13" s="1023"/>
      <c r="J13" s="1023"/>
      <c r="K13" s="1023"/>
      <c r="L13" s="1023"/>
      <c r="M13" s="1023"/>
      <c r="N13" s="1023"/>
      <c r="O13" s="1023"/>
      <c r="P13" s="1024"/>
    </row>
    <row r="14" spans="1:16" s="360" customFormat="1" ht="12.75" customHeight="1">
      <c r="A14" s="204">
        <f t="shared" si="0"/>
        <v>4</v>
      </c>
      <c r="B14" s="204" t="s">
        <v>590</v>
      </c>
      <c r="C14" s="1022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4"/>
    </row>
    <row r="15" spans="1:16" s="360" customFormat="1" ht="12.75" customHeight="1">
      <c r="A15" s="204">
        <f t="shared" si="0"/>
        <v>5</v>
      </c>
      <c r="B15" s="204" t="s">
        <v>591</v>
      </c>
      <c r="C15" s="1022"/>
      <c r="D15" s="1023"/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4"/>
    </row>
    <row r="16" spans="1:16" s="360" customFormat="1" ht="12.75" customHeight="1">
      <c r="A16" s="204">
        <f t="shared" si="0"/>
        <v>6</v>
      </c>
      <c r="B16" s="204" t="s">
        <v>592</v>
      </c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4"/>
    </row>
    <row r="17" spans="1:16" s="360" customFormat="1" ht="12.75" customHeight="1">
      <c r="A17" s="204">
        <f t="shared" si="0"/>
        <v>7</v>
      </c>
      <c r="B17" s="204" t="s">
        <v>593</v>
      </c>
      <c r="C17" s="1022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4"/>
    </row>
    <row r="18" spans="1:16" s="360" customFormat="1" ht="12.75" customHeight="1">
      <c r="A18" s="204">
        <f t="shared" si="0"/>
        <v>8</v>
      </c>
      <c r="B18" s="204" t="s">
        <v>594</v>
      </c>
      <c r="C18" s="1022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4"/>
    </row>
    <row r="19" spans="1:16" s="360" customFormat="1" ht="12.75" customHeight="1">
      <c r="A19" s="204">
        <f t="shared" si="0"/>
        <v>9</v>
      </c>
      <c r="B19" s="204" t="s">
        <v>595</v>
      </c>
      <c r="C19" s="1022"/>
      <c r="D19" s="1023"/>
      <c r="E19" s="1023"/>
      <c r="F19" s="1023"/>
      <c r="G19" s="1023"/>
      <c r="H19" s="1023"/>
      <c r="I19" s="1023"/>
      <c r="J19" s="1023"/>
      <c r="K19" s="1023"/>
      <c r="L19" s="1023"/>
      <c r="M19" s="1023"/>
      <c r="N19" s="1023"/>
      <c r="O19" s="1023"/>
      <c r="P19" s="1024"/>
    </row>
    <row r="20" spans="1:16" s="360" customFormat="1" ht="12.75" customHeight="1">
      <c r="A20" s="204">
        <f t="shared" si="0"/>
        <v>10</v>
      </c>
      <c r="B20" s="204" t="s">
        <v>596</v>
      </c>
      <c r="C20" s="1022"/>
      <c r="D20" s="1023"/>
      <c r="E20" s="1023"/>
      <c r="F20" s="1023"/>
      <c r="G20" s="1023"/>
      <c r="H20" s="1023"/>
      <c r="I20" s="1023"/>
      <c r="J20" s="1023"/>
      <c r="K20" s="1023"/>
      <c r="L20" s="1023"/>
      <c r="M20" s="1023"/>
      <c r="N20" s="1023"/>
      <c r="O20" s="1023"/>
      <c r="P20" s="1024"/>
    </row>
    <row r="21" spans="1:16" s="360" customFormat="1" ht="12.75" customHeight="1">
      <c r="A21" s="204">
        <f t="shared" si="0"/>
        <v>11</v>
      </c>
      <c r="B21" s="204" t="s">
        <v>626</v>
      </c>
      <c r="C21" s="1022"/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  <c r="O21" s="1023"/>
      <c r="P21" s="1024"/>
    </row>
    <row r="22" spans="1:16" s="360" customFormat="1" ht="12.75" customHeight="1">
      <c r="A22" s="204">
        <f t="shared" si="0"/>
        <v>12</v>
      </c>
      <c r="B22" s="204" t="s">
        <v>597</v>
      </c>
      <c r="C22" s="1022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4"/>
    </row>
    <row r="23" spans="1:16" s="360" customFormat="1" ht="12.75" customHeight="1">
      <c r="A23" s="204">
        <f t="shared" si="0"/>
        <v>13</v>
      </c>
      <c r="B23" s="204" t="s">
        <v>598</v>
      </c>
      <c r="C23" s="1022"/>
      <c r="D23" s="1023"/>
      <c r="E23" s="1023"/>
      <c r="F23" s="1023"/>
      <c r="G23" s="1023"/>
      <c r="H23" s="1023"/>
      <c r="I23" s="1023"/>
      <c r="J23" s="1023"/>
      <c r="K23" s="1023"/>
      <c r="L23" s="1023"/>
      <c r="M23" s="1023"/>
      <c r="N23" s="1023"/>
      <c r="O23" s="1023"/>
      <c r="P23" s="1024"/>
    </row>
    <row r="24" spans="1:16" s="360" customFormat="1" ht="12.75" customHeight="1">
      <c r="A24" s="204">
        <f t="shared" si="0"/>
        <v>14</v>
      </c>
      <c r="B24" s="204" t="s">
        <v>627</v>
      </c>
      <c r="C24" s="1022"/>
      <c r="D24" s="1023"/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4"/>
    </row>
    <row r="25" spans="1:16" s="360" customFormat="1" ht="12.75" customHeight="1">
      <c r="A25" s="204">
        <f t="shared" si="0"/>
        <v>15</v>
      </c>
      <c r="B25" s="204" t="s">
        <v>599</v>
      </c>
      <c r="C25" s="1022"/>
      <c r="D25" s="1023"/>
      <c r="E25" s="1023"/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4"/>
    </row>
    <row r="26" spans="1:16" ht="12.75" customHeight="1">
      <c r="A26" s="204">
        <f t="shared" si="0"/>
        <v>16</v>
      </c>
      <c r="B26" s="204" t="s">
        <v>600</v>
      </c>
      <c r="C26" s="1022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4"/>
    </row>
    <row r="27" spans="1:16" ht="12.75" customHeight="1">
      <c r="A27" s="204">
        <f t="shared" si="0"/>
        <v>17</v>
      </c>
      <c r="B27" s="453" t="s">
        <v>684</v>
      </c>
      <c r="C27" s="1022"/>
      <c r="D27" s="1023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4"/>
    </row>
    <row r="28" spans="1:16" ht="12.75" customHeight="1">
      <c r="A28" s="204">
        <f t="shared" si="0"/>
        <v>18</v>
      </c>
      <c r="B28" s="204" t="s">
        <v>601</v>
      </c>
      <c r="C28" s="1022"/>
      <c r="D28" s="1023"/>
      <c r="E28" s="1023"/>
      <c r="F28" s="1023"/>
      <c r="G28" s="1023"/>
      <c r="H28" s="1023"/>
      <c r="I28" s="1023"/>
      <c r="J28" s="1023"/>
      <c r="K28" s="1023"/>
      <c r="L28" s="1023"/>
      <c r="M28" s="1023"/>
      <c r="N28" s="1023"/>
      <c r="O28" s="1023"/>
      <c r="P28" s="1024"/>
    </row>
    <row r="29" spans="1:16" ht="12.75" customHeight="1">
      <c r="A29" s="204">
        <f t="shared" si="0"/>
        <v>19</v>
      </c>
      <c r="B29" s="204" t="s">
        <v>602</v>
      </c>
      <c r="C29" s="1022"/>
      <c r="D29" s="1023"/>
      <c r="E29" s="1023"/>
      <c r="F29" s="1023"/>
      <c r="G29" s="1023"/>
      <c r="H29" s="1023"/>
      <c r="I29" s="1023"/>
      <c r="J29" s="1023"/>
      <c r="K29" s="1023"/>
      <c r="L29" s="1023"/>
      <c r="M29" s="1023"/>
      <c r="N29" s="1023"/>
      <c r="O29" s="1023"/>
      <c r="P29" s="1024"/>
    </row>
    <row r="30" spans="1:16" ht="12.75" customHeight="1">
      <c r="A30" s="204">
        <f t="shared" si="0"/>
        <v>20</v>
      </c>
      <c r="B30" s="453" t="s">
        <v>683</v>
      </c>
      <c r="C30" s="1022"/>
      <c r="D30" s="1023"/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4"/>
    </row>
    <row r="31" spans="1:16" ht="12.75" customHeight="1">
      <c r="A31" s="204">
        <f t="shared" si="0"/>
        <v>21</v>
      </c>
      <c r="B31" s="204" t="s">
        <v>628</v>
      </c>
      <c r="C31" s="1022"/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4"/>
    </row>
    <row r="32" spans="1:16" ht="12.75" customHeight="1">
      <c r="A32" s="204">
        <f t="shared" si="0"/>
        <v>22</v>
      </c>
      <c r="B32" s="204" t="s">
        <v>603</v>
      </c>
      <c r="C32" s="1022"/>
      <c r="D32" s="1023"/>
      <c r="E32" s="1023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4"/>
    </row>
    <row r="33" spans="1:16" ht="12.75" customHeight="1">
      <c r="A33" s="204">
        <f t="shared" si="0"/>
        <v>23</v>
      </c>
      <c r="B33" s="204" t="s">
        <v>604</v>
      </c>
      <c r="C33" s="1022"/>
      <c r="D33" s="1023"/>
      <c r="E33" s="1023"/>
      <c r="F33" s="1023"/>
      <c r="G33" s="1023"/>
      <c r="H33" s="1023"/>
      <c r="I33" s="1023"/>
      <c r="J33" s="1023"/>
      <c r="K33" s="1023"/>
      <c r="L33" s="1023"/>
      <c r="M33" s="1023"/>
      <c r="N33" s="1023"/>
      <c r="O33" s="1023"/>
      <c r="P33" s="1024"/>
    </row>
    <row r="34" spans="1:16" ht="12.75" customHeight="1">
      <c r="A34" s="204">
        <f t="shared" si="0"/>
        <v>24</v>
      </c>
      <c r="B34" s="204" t="s">
        <v>605</v>
      </c>
      <c r="C34" s="1022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4"/>
    </row>
    <row r="35" spans="1:16" ht="12.75" customHeight="1">
      <c r="A35" s="204">
        <f t="shared" si="0"/>
        <v>25</v>
      </c>
      <c r="B35" s="204" t="s">
        <v>606</v>
      </c>
      <c r="C35" s="1022"/>
      <c r="D35" s="1023"/>
      <c r="E35" s="1023"/>
      <c r="F35" s="1023"/>
      <c r="G35" s="1023"/>
      <c r="H35" s="1023"/>
      <c r="I35" s="1023"/>
      <c r="J35" s="1023"/>
      <c r="K35" s="1023"/>
      <c r="L35" s="1023"/>
      <c r="M35" s="1023"/>
      <c r="N35" s="1023"/>
      <c r="O35" s="1023"/>
      <c r="P35" s="1024"/>
    </row>
    <row r="36" spans="1:16" ht="12.75" customHeight="1">
      <c r="A36" s="204">
        <f t="shared" si="0"/>
        <v>26</v>
      </c>
      <c r="B36" s="204" t="s">
        <v>607</v>
      </c>
      <c r="C36" s="1022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4"/>
    </row>
    <row r="37" spans="1:16" ht="12.75" customHeight="1">
      <c r="A37" s="204">
        <f t="shared" si="0"/>
        <v>27</v>
      </c>
      <c r="B37" s="204" t="s">
        <v>608</v>
      </c>
      <c r="C37" s="1022"/>
      <c r="D37" s="1023"/>
      <c r="E37" s="1023"/>
      <c r="F37" s="1023"/>
      <c r="G37" s="1023"/>
      <c r="H37" s="1023"/>
      <c r="I37" s="1023"/>
      <c r="J37" s="1023"/>
      <c r="K37" s="1023"/>
      <c r="L37" s="1023"/>
      <c r="M37" s="1023"/>
      <c r="N37" s="1023"/>
      <c r="O37" s="1023"/>
      <c r="P37" s="1024"/>
    </row>
    <row r="38" spans="1:16" ht="12.75" customHeight="1">
      <c r="A38" s="204">
        <f t="shared" si="0"/>
        <v>28</v>
      </c>
      <c r="B38" s="204" t="s">
        <v>609</v>
      </c>
      <c r="C38" s="1022"/>
      <c r="D38" s="1023"/>
      <c r="E38" s="1023"/>
      <c r="F38" s="1023"/>
      <c r="G38" s="1023"/>
      <c r="H38" s="1023"/>
      <c r="I38" s="1023"/>
      <c r="J38" s="1023"/>
      <c r="K38" s="1023"/>
      <c r="L38" s="1023"/>
      <c r="M38" s="1023"/>
      <c r="N38" s="1023"/>
      <c r="O38" s="1023"/>
      <c r="P38" s="1024"/>
    </row>
    <row r="39" spans="1:16" ht="12.75" customHeight="1">
      <c r="A39" s="204">
        <f t="shared" si="0"/>
        <v>29</v>
      </c>
      <c r="B39" s="204" t="s">
        <v>610</v>
      </c>
      <c r="C39" s="1022"/>
      <c r="D39" s="1023"/>
      <c r="E39" s="1023"/>
      <c r="F39" s="1023"/>
      <c r="G39" s="1023"/>
      <c r="H39" s="1023"/>
      <c r="I39" s="1023"/>
      <c r="J39" s="1023"/>
      <c r="K39" s="1023"/>
      <c r="L39" s="1023"/>
      <c r="M39" s="1023"/>
      <c r="N39" s="1023"/>
      <c r="O39" s="1023"/>
      <c r="P39" s="1024"/>
    </row>
    <row r="40" spans="1:16" ht="12.75" customHeight="1">
      <c r="A40" s="204">
        <f t="shared" si="0"/>
        <v>30</v>
      </c>
      <c r="B40" s="443" t="s">
        <v>611</v>
      </c>
      <c r="C40" s="1022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4"/>
    </row>
    <row r="41" spans="1:16" ht="12.75" customHeight="1">
      <c r="A41" s="204">
        <f t="shared" si="0"/>
        <v>31</v>
      </c>
      <c r="B41" s="443" t="s">
        <v>612</v>
      </c>
      <c r="C41" s="1022"/>
      <c r="D41" s="1023"/>
      <c r="E41" s="1023"/>
      <c r="F41" s="1023"/>
      <c r="G41" s="1023"/>
      <c r="H41" s="1023"/>
      <c r="I41" s="1023"/>
      <c r="J41" s="1023"/>
      <c r="K41" s="1023"/>
      <c r="L41" s="1023"/>
      <c r="M41" s="1023"/>
      <c r="N41" s="1023"/>
      <c r="O41" s="1023"/>
      <c r="P41" s="1024"/>
    </row>
    <row r="42" spans="1:16" ht="12.75" customHeight="1">
      <c r="A42" s="204">
        <f t="shared" si="0"/>
        <v>32</v>
      </c>
      <c r="B42" s="443" t="s">
        <v>613</v>
      </c>
      <c r="C42" s="1022"/>
      <c r="D42" s="1023"/>
      <c r="E42" s="1023"/>
      <c r="F42" s="1023"/>
      <c r="G42" s="1023"/>
      <c r="H42" s="1023"/>
      <c r="I42" s="1023"/>
      <c r="J42" s="1023"/>
      <c r="K42" s="1023"/>
      <c r="L42" s="1023"/>
      <c r="M42" s="1023"/>
      <c r="N42" s="1023"/>
      <c r="O42" s="1023"/>
      <c r="P42" s="1024"/>
    </row>
    <row r="43" spans="1:16" ht="12.75" customHeight="1">
      <c r="A43" s="204">
        <f t="shared" si="0"/>
        <v>33</v>
      </c>
      <c r="B43" s="443" t="s">
        <v>614</v>
      </c>
      <c r="C43" s="1022"/>
      <c r="D43" s="1023"/>
      <c r="E43" s="1023"/>
      <c r="F43" s="1023"/>
      <c r="G43" s="1023"/>
      <c r="H43" s="1023"/>
      <c r="I43" s="1023"/>
      <c r="J43" s="1023"/>
      <c r="K43" s="1023"/>
      <c r="L43" s="1023"/>
      <c r="M43" s="1023"/>
      <c r="N43" s="1023"/>
      <c r="O43" s="1023"/>
      <c r="P43" s="1024"/>
    </row>
    <row r="44" spans="1:16" ht="12.75" customHeight="1">
      <c r="A44" s="444"/>
      <c r="B44" s="444" t="s">
        <v>615</v>
      </c>
      <c r="C44" s="1025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7"/>
    </row>
    <row r="45" spans="1:16">
      <c r="A45" s="130"/>
      <c r="B45" s="130"/>
      <c r="C45" s="130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6">
      <c r="A46" s="130"/>
      <c r="B46" s="130"/>
      <c r="C46" s="130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6">
      <c r="A47" s="130"/>
      <c r="B47" s="130"/>
      <c r="C47" s="130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6">
      <c r="A48" s="128"/>
      <c r="B48" s="128"/>
      <c r="C48" s="128"/>
      <c r="D48" s="128"/>
    </row>
    <row r="49" spans="1:14">
      <c r="A49" s="128"/>
      <c r="B49" s="128"/>
      <c r="C49" s="128"/>
      <c r="D49" s="128"/>
      <c r="J49" s="1029" t="s">
        <v>908</v>
      </c>
      <c r="K49" s="1029"/>
      <c r="L49" s="1029"/>
      <c r="M49" s="1029"/>
      <c r="N49" s="1029"/>
    </row>
    <row r="50" spans="1:14">
      <c r="A50" s="128"/>
      <c r="B50" s="128"/>
      <c r="C50" s="128"/>
      <c r="D50" s="128"/>
      <c r="J50" s="1029" t="s">
        <v>646</v>
      </c>
      <c r="K50" s="1029"/>
      <c r="L50" s="1029"/>
      <c r="M50" s="1029"/>
      <c r="N50" s="1029"/>
    </row>
  </sheetData>
  <mergeCells count="18">
    <mergeCell ref="J50:N50"/>
    <mergeCell ref="A7:B7"/>
    <mergeCell ref="H7:N7"/>
    <mergeCell ref="A8:A9"/>
    <mergeCell ref="B8:B9"/>
    <mergeCell ref="C8:C9"/>
    <mergeCell ref="D8:D9"/>
    <mergeCell ref="E8:H8"/>
    <mergeCell ref="I8:N8"/>
    <mergeCell ref="C11:P44"/>
    <mergeCell ref="A4:P5"/>
    <mergeCell ref="A6:N6"/>
    <mergeCell ref="D1:E1"/>
    <mergeCell ref="O1:P1"/>
    <mergeCell ref="J49:N49"/>
    <mergeCell ref="O8:P8"/>
    <mergeCell ref="A2:P2"/>
    <mergeCell ref="A3:P3"/>
  </mergeCells>
  <printOptions horizontalCentered="1"/>
  <pageMargins left="0.44" right="0.41" top="0.45" bottom="0" header="0.31496062992125984" footer="0.31496062992125984"/>
  <pageSetup paperSize="9" scale="8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view="pageBreakPreview" zoomScale="85" zoomScaleNormal="70" zoomScaleSheetLayoutView="85" workbookViewId="0">
      <selection activeCell="M9" sqref="M9"/>
    </sheetView>
  </sheetViews>
  <sheetFormatPr defaultColWidth="9.140625" defaultRowHeight="14.25"/>
  <cols>
    <col min="1" max="1" width="9.140625" style="229"/>
    <col min="2" max="2" width="18.28515625" style="229" customWidth="1"/>
    <col min="3" max="4" width="8.5703125" style="229" customWidth="1"/>
    <col min="5" max="5" width="8.7109375" style="229" customWidth="1"/>
    <col min="6" max="6" width="8.5703125" style="229" customWidth="1"/>
    <col min="7" max="7" width="9.7109375" style="229" customWidth="1"/>
    <col min="8" max="8" width="10.28515625" style="229" customWidth="1"/>
    <col min="9" max="9" width="9.7109375" style="229" customWidth="1"/>
    <col min="10" max="10" width="9.28515625" style="229" customWidth="1"/>
    <col min="11" max="11" width="7" style="229" customWidth="1"/>
    <col min="12" max="12" width="7.28515625" style="229" customWidth="1"/>
    <col min="13" max="13" width="7.42578125" style="229" customWidth="1"/>
    <col min="14" max="14" width="7.85546875" style="229" customWidth="1"/>
    <col min="15" max="15" width="11.42578125" style="229" customWidth="1"/>
    <col min="16" max="16" width="12.28515625" style="229" customWidth="1"/>
    <col min="17" max="17" width="11.5703125" style="229" customWidth="1"/>
    <col min="18" max="18" width="19.28515625" style="229" customWidth="1"/>
    <col min="19" max="19" width="9" style="229" customWidth="1"/>
    <col min="20" max="20" width="9.140625" style="229" hidden="1" customWidth="1"/>
    <col min="21" max="16384" width="9.140625" style="229"/>
  </cols>
  <sheetData>
    <row r="1" spans="1:20" s="173" customFormat="1" ht="15.75">
      <c r="G1" s="702" t="s">
        <v>0</v>
      </c>
      <c r="H1" s="702"/>
      <c r="I1" s="702"/>
      <c r="J1" s="702"/>
      <c r="K1" s="702"/>
      <c r="L1" s="702"/>
      <c r="M1" s="702"/>
      <c r="N1" s="156"/>
      <c r="O1" s="156"/>
      <c r="R1" s="25" t="s">
        <v>532</v>
      </c>
      <c r="S1" s="25"/>
    </row>
    <row r="2" spans="1:20" s="173" customFormat="1" ht="20.25">
      <c r="B2" s="171"/>
      <c r="E2" s="703" t="s">
        <v>737</v>
      </c>
      <c r="F2" s="703"/>
      <c r="G2" s="703"/>
      <c r="H2" s="703"/>
      <c r="I2" s="703"/>
      <c r="J2" s="703"/>
      <c r="K2" s="703"/>
      <c r="L2" s="703"/>
      <c r="M2" s="703"/>
      <c r="N2" s="703"/>
      <c r="O2" s="703"/>
    </row>
    <row r="3" spans="1:20" s="173" customFormat="1" ht="20.25">
      <c r="B3" s="157"/>
      <c r="C3" s="157"/>
      <c r="D3" s="157"/>
      <c r="E3" s="157"/>
      <c r="F3" s="157"/>
      <c r="G3" s="157"/>
      <c r="H3" s="157"/>
      <c r="I3" s="157"/>
      <c r="J3" s="157"/>
    </row>
    <row r="4" spans="1:20" ht="18">
      <c r="B4" s="1031" t="s">
        <v>677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</row>
    <row r="5" spans="1:20">
      <c r="C5" s="230"/>
      <c r="D5" s="230"/>
      <c r="E5" s="230"/>
      <c r="F5" s="230"/>
      <c r="G5" s="230"/>
      <c r="H5" s="230"/>
      <c r="M5" s="230"/>
      <c r="N5" s="230"/>
      <c r="O5" s="230"/>
      <c r="P5" s="230"/>
      <c r="Q5" s="230"/>
      <c r="R5" s="230"/>
      <c r="S5" s="230"/>
      <c r="T5" s="230"/>
    </row>
    <row r="6" spans="1:20">
      <c r="A6" s="699" t="s">
        <v>658</v>
      </c>
      <c r="B6" s="699"/>
    </row>
    <row r="7" spans="1:20">
      <c r="B7" s="231"/>
    </row>
    <row r="8" spans="1:20" s="232" customFormat="1" ht="42" customHeight="1">
      <c r="A8" s="668" t="s">
        <v>2</v>
      </c>
      <c r="B8" s="1032" t="s">
        <v>3</v>
      </c>
      <c r="C8" s="1043" t="s">
        <v>237</v>
      </c>
      <c r="D8" s="1043"/>
      <c r="E8" s="1043"/>
      <c r="F8" s="1043"/>
      <c r="G8" s="1040" t="s">
        <v>727</v>
      </c>
      <c r="H8" s="1041"/>
      <c r="I8" s="1041"/>
      <c r="J8" s="1044"/>
      <c r="K8" s="1040" t="s">
        <v>205</v>
      </c>
      <c r="L8" s="1041"/>
      <c r="M8" s="1041"/>
      <c r="N8" s="1044"/>
      <c r="O8" s="1040" t="s">
        <v>102</v>
      </c>
      <c r="P8" s="1041"/>
      <c r="Q8" s="1041"/>
      <c r="R8" s="1042"/>
    </row>
    <row r="9" spans="1:20" s="234" customFormat="1" ht="62.25" customHeight="1">
      <c r="A9" s="668"/>
      <c r="B9" s="1033"/>
      <c r="C9" s="191" t="s">
        <v>88</v>
      </c>
      <c r="D9" s="191" t="s">
        <v>92</v>
      </c>
      <c r="E9" s="191" t="s">
        <v>93</v>
      </c>
      <c r="F9" s="191" t="s">
        <v>16</v>
      </c>
      <c r="G9" s="191" t="s">
        <v>88</v>
      </c>
      <c r="H9" s="191" t="s">
        <v>92</v>
      </c>
      <c r="I9" s="191" t="s">
        <v>93</v>
      </c>
      <c r="J9" s="191" t="s">
        <v>16</v>
      </c>
      <c r="K9" s="191" t="s">
        <v>88</v>
      </c>
      <c r="L9" s="191" t="s">
        <v>92</v>
      </c>
      <c r="M9" s="191" t="s">
        <v>93</v>
      </c>
      <c r="N9" s="191" t="s">
        <v>16</v>
      </c>
      <c r="O9" s="191" t="s">
        <v>138</v>
      </c>
      <c r="P9" s="191" t="s">
        <v>139</v>
      </c>
      <c r="Q9" s="190" t="s">
        <v>140</v>
      </c>
      <c r="R9" s="191" t="s">
        <v>141</v>
      </c>
      <c r="S9" s="233"/>
    </row>
    <row r="10" spans="1:20" s="235" customFormat="1" ht="16.149999999999999" customHeight="1">
      <c r="A10" s="150">
        <v>1</v>
      </c>
      <c r="B10" s="192">
        <v>2</v>
      </c>
      <c r="C10" s="191">
        <v>3</v>
      </c>
      <c r="D10" s="191">
        <v>4</v>
      </c>
      <c r="E10" s="191">
        <v>5</v>
      </c>
      <c r="F10" s="191">
        <v>6</v>
      </c>
      <c r="G10" s="191">
        <v>7</v>
      </c>
      <c r="H10" s="191">
        <v>8</v>
      </c>
      <c r="I10" s="191">
        <v>9</v>
      </c>
      <c r="J10" s="191">
        <v>10</v>
      </c>
      <c r="K10" s="191">
        <v>11</v>
      </c>
      <c r="L10" s="191">
        <v>12</v>
      </c>
      <c r="M10" s="191">
        <v>13</v>
      </c>
      <c r="N10" s="191">
        <v>14</v>
      </c>
      <c r="O10" s="191">
        <v>15</v>
      </c>
      <c r="P10" s="191">
        <v>16</v>
      </c>
      <c r="Q10" s="191">
        <v>17</v>
      </c>
      <c r="R10" s="192">
        <v>18</v>
      </c>
    </row>
    <row r="11" spans="1:20" s="235" customFormat="1" ht="16.149999999999999" customHeight="1">
      <c r="A11" s="204">
        <v>1</v>
      </c>
      <c r="B11" s="204" t="s">
        <v>624</v>
      </c>
      <c r="C11" s="517">
        <v>1131</v>
      </c>
      <c r="D11" s="517">
        <v>4</v>
      </c>
      <c r="E11" s="517">
        <v>0</v>
      </c>
      <c r="F11" s="518">
        <f>SUM(C11:E11)</f>
        <v>1135</v>
      </c>
      <c r="G11" s="518"/>
      <c r="H11" s="518"/>
      <c r="I11" s="518"/>
      <c r="J11" s="1034">
        <v>3206</v>
      </c>
      <c r="K11" s="518"/>
      <c r="L11" s="518"/>
      <c r="M11" s="518"/>
      <c r="N11" s="519">
        <v>161</v>
      </c>
      <c r="O11" s="518"/>
      <c r="P11" s="518"/>
      <c r="Q11" s="518"/>
      <c r="R11" s="518">
        <v>0</v>
      </c>
    </row>
    <row r="12" spans="1:20" s="235" customFormat="1" ht="16.149999999999999" customHeight="1">
      <c r="A12" s="204">
        <f>A11+1</f>
        <v>2</v>
      </c>
      <c r="B12" s="204" t="s">
        <v>626</v>
      </c>
      <c r="C12" s="517">
        <v>1018</v>
      </c>
      <c r="D12" s="517">
        <v>11</v>
      </c>
      <c r="E12" s="517">
        <v>0</v>
      </c>
      <c r="F12" s="518">
        <f>SUM(C12:E12)</f>
        <v>1029</v>
      </c>
      <c r="G12" s="518"/>
      <c r="H12" s="518"/>
      <c r="I12" s="518"/>
      <c r="J12" s="1035"/>
      <c r="K12" s="518"/>
      <c r="L12" s="518"/>
      <c r="M12" s="518"/>
      <c r="N12" s="519">
        <v>98</v>
      </c>
      <c r="O12" s="518"/>
      <c r="P12" s="518"/>
      <c r="Q12" s="518"/>
      <c r="R12" s="518">
        <v>0</v>
      </c>
    </row>
    <row r="13" spans="1:20" s="235" customFormat="1" ht="16.149999999999999" customHeight="1">
      <c r="A13" s="204">
        <f t="shared" ref="A13:A43" si="0">A12+1</f>
        <v>3</v>
      </c>
      <c r="B13" s="204" t="s">
        <v>627</v>
      </c>
      <c r="C13" s="517">
        <v>752</v>
      </c>
      <c r="D13" s="517">
        <v>14</v>
      </c>
      <c r="E13" s="517">
        <v>0</v>
      </c>
      <c r="F13" s="518">
        <f>SUM(C13:E13)</f>
        <v>766</v>
      </c>
      <c r="G13" s="518"/>
      <c r="H13" s="518"/>
      <c r="I13" s="518"/>
      <c r="J13" s="1035"/>
      <c r="K13" s="518"/>
      <c r="L13" s="518"/>
      <c r="M13" s="518"/>
      <c r="N13" s="519">
        <v>156</v>
      </c>
      <c r="O13" s="518"/>
      <c r="P13" s="518"/>
      <c r="Q13" s="518"/>
      <c r="R13" s="518">
        <v>0</v>
      </c>
    </row>
    <row r="14" spans="1:20" s="235" customFormat="1" ht="16.149999999999999" customHeight="1">
      <c r="A14" s="204">
        <f t="shared" si="0"/>
        <v>4</v>
      </c>
      <c r="B14" s="204" t="s">
        <v>628</v>
      </c>
      <c r="C14" s="517">
        <v>777</v>
      </c>
      <c r="D14" s="517">
        <v>0</v>
      </c>
      <c r="E14" s="517">
        <v>0</v>
      </c>
      <c r="F14" s="518">
        <f>SUM(C14:E14)</f>
        <v>777</v>
      </c>
      <c r="G14" s="518"/>
      <c r="H14" s="518"/>
      <c r="I14" s="518"/>
      <c r="J14" s="1036"/>
      <c r="K14" s="518"/>
      <c r="L14" s="518"/>
      <c r="M14" s="518"/>
      <c r="N14" s="519">
        <v>166</v>
      </c>
      <c r="O14" s="518"/>
      <c r="P14" s="518"/>
      <c r="Q14" s="518"/>
      <c r="R14" s="518">
        <v>0</v>
      </c>
    </row>
    <row r="15" spans="1:20" s="235" customFormat="1" ht="16.149999999999999" customHeight="1">
      <c r="A15" s="204">
        <f t="shared" si="0"/>
        <v>5</v>
      </c>
      <c r="B15" s="204" t="s">
        <v>589</v>
      </c>
      <c r="C15" s="517">
        <v>1269</v>
      </c>
      <c r="D15" s="517">
        <v>30</v>
      </c>
      <c r="E15" s="517">
        <v>0</v>
      </c>
      <c r="F15" s="518">
        <f t="shared" ref="F15:F38" si="1">SUM(C15:E15)</f>
        <v>1299</v>
      </c>
      <c r="G15" s="518"/>
      <c r="H15" s="518"/>
      <c r="I15" s="518"/>
      <c r="J15" s="1034">
        <v>3557</v>
      </c>
      <c r="K15" s="518"/>
      <c r="L15" s="518"/>
      <c r="M15" s="518"/>
      <c r="N15" s="519">
        <v>157</v>
      </c>
      <c r="O15" s="518"/>
      <c r="P15" s="518"/>
      <c r="Q15" s="518"/>
      <c r="R15" s="518">
        <v>0</v>
      </c>
    </row>
    <row r="16" spans="1:20" s="235" customFormat="1" ht="16.149999999999999" customHeight="1">
      <c r="A16" s="204">
        <f t="shared" si="0"/>
        <v>6</v>
      </c>
      <c r="B16" s="204" t="s">
        <v>596</v>
      </c>
      <c r="C16" s="517">
        <v>1230</v>
      </c>
      <c r="D16" s="517">
        <v>24</v>
      </c>
      <c r="E16" s="517">
        <v>0</v>
      </c>
      <c r="F16" s="518">
        <f>SUM(C16:E16)</f>
        <v>1254</v>
      </c>
      <c r="G16" s="518"/>
      <c r="H16" s="518"/>
      <c r="I16" s="518"/>
      <c r="J16" s="1036"/>
      <c r="K16" s="518"/>
      <c r="L16" s="518"/>
      <c r="M16" s="518"/>
      <c r="N16" s="519">
        <v>124</v>
      </c>
      <c r="O16" s="518"/>
      <c r="P16" s="518"/>
      <c r="Q16" s="518"/>
      <c r="R16" s="518">
        <v>0</v>
      </c>
    </row>
    <row r="17" spans="1:45" s="235" customFormat="1" ht="16.149999999999999" customHeight="1">
      <c r="A17" s="204">
        <f t="shared" si="0"/>
        <v>7</v>
      </c>
      <c r="B17" s="204" t="s">
        <v>625</v>
      </c>
      <c r="C17" s="517">
        <v>0</v>
      </c>
      <c r="D17" s="517">
        <v>0</v>
      </c>
      <c r="E17" s="517">
        <v>0</v>
      </c>
      <c r="F17" s="518">
        <v>0</v>
      </c>
      <c r="G17" s="518"/>
      <c r="H17" s="518"/>
      <c r="I17" s="518"/>
      <c r="J17" s="647"/>
      <c r="K17" s="518"/>
      <c r="L17" s="518"/>
      <c r="M17" s="518"/>
      <c r="N17" s="519">
        <v>0</v>
      </c>
      <c r="O17" s="518"/>
      <c r="P17" s="518"/>
      <c r="Q17" s="518"/>
      <c r="R17" s="518">
        <v>0</v>
      </c>
    </row>
    <row r="18" spans="1:45" s="235" customFormat="1" ht="16.149999999999999" customHeight="1">
      <c r="A18" s="204">
        <f t="shared" si="0"/>
        <v>8</v>
      </c>
      <c r="B18" s="204" t="s">
        <v>595</v>
      </c>
      <c r="C18" s="517">
        <v>662</v>
      </c>
      <c r="D18" s="517">
        <v>14</v>
      </c>
      <c r="E18" s="517">
        <v>0</v>
      </c>
      <c r="F18" s="518">
        <f>SUM(C18:E18)</f>
        <v>676</v>
      </c>
      <c r="G18" s="518"/>
      <c r="H18" s="518"/>
      <c r="I18" s="518"/>
      <c r="J18" s="1034">
        <v>2535</v>
      </c>
      <c r="K18" s="518"/>
      <c r="L18" s="518"/>
      <c r="M18" s="518"/>
      <c r="N18" s="519">
        <v>133</v>
      </c>
      <c r="O18" s="518"/>
      <c r="P18" s="518"/>
      <c r="Q18" s="518"/>
      <c r="R18" s="518">
        <v>0</v>
      </c>
    </row>
    <row r="19" spans="1:45" s="235" customFormat="1" ht="16.149999999999999" customHeight="1">
      <c r="A19" s="204">
        <f t="shared" si="0"/>
        <v>9</v>
      </c>
      <c r="B19" s="204" t="s">
        <v>590</v>
      </c>
      <c r="C19" s="517">
        <v>796</v>
      </c>
      <c r="D19" s="517">
        <v>3</v>
      </c>
      <c r="E19" s="517">
        <v>0</v>
      </c>
      <c r="F19" s="518">
        <f t="shared" si="1"/>
        <v>799</v>
      </c>
      <c r="G19" s="518"/>
      <c r="H19" s="518"/>
      <c r="I19" s="518"/>
      <c r="J19" s="1035"/>
      <c r="K19" s="518"/>
      <c r="L19" s="518"/>
      <c r="M19" s="518"/>
      <c r="N19" s="519">
        <v>179</v>
      </c>
      <c r="O19" s="518"/>
      <c r="P19" s="518"/>
      <c r="Q19" s="518"/>
      <c r="R19" s="518">
        <v>0</v>
      </c>
    </row>
    <row r="20" spans="1:45" s="235" customFormat="1" ht="16.149999999999999" customHeight="1">
      <c r="A20" s="204">
        <f t="shared" si="0"/>
        <v>10</v>
      </c>
      <c r="B20" s="204" t="s">
        <v>604</v>
      </c>
      <c r="C20" s="517">
        <v>542</v>
      </c>
      <c r="D20" s="517">
        <v>7</v>
      </c>
      <c r="E20" s="517">
        <v>0</v>
      </c>
      <c r="F20" s="518">
        <f>SUM(C20:E20)</f>
        <v>549</v>
      </c>
      <c r="G20" s="518"/>
      <c r="H20" s="518"/>
      <c r="I20" s="518"/>
      <c r="J20" s="1035"/>
      <c r="K20" s="518"/>
      <c r="L20" s="518"/>
      <c r="M20" s="518"/>
      <c r="N20" s="390">
        <v>74</v>
      </c>
      <c r="O20" s="518"/>
      <c r="P20" s="518"/>
      <c r="Q20" s="518"/>
      <c r="R20" s="518">
        <v>0</v>
      </c>
    </row>
    <row r="21" spans="1:45" s="235" customFormat="1" ht="16.149999999999999" customHeight="1">
      <c r="A21" s="204">
        <f t="shared" si="0"/>
        <v>11</v>
      </c>
      <c r="B21" s="204" t="s">
        <v>605</v>
      </c>
      <c r="C21" s="517">
        <v>496</v>
      </c>
      <c r="D21" s="517">
        <v>3</v>
      </c>
      <c r="E21" s="517">
        <v>0</v>
      </c>
      <c r="F21" s="518">
        <f>SUM(C21:E21)</f>
        <v>499</v>
      </c>
      <c r="G21" s="518"/>
      <c r="H21" s="518"/>
      <c r="I21" s="518"/>
      <c r="J21" s="1036"/>
      <c r="K21" s="518"/>
      <c r="L21" s="518"/>
      <c r="M21" s="518"/>
      <c r="N21" s="390">
        <v>110</v>
      </c>
      <c r="O21" s="518"/>
      <c r="P21" s="518"/>
      <c r="Q21" s="518"/>
      <c r="R21" s="518">
        <v>0</v>
      </c>
    </row>
    <row r="22" spans="1:45" s="236" customFormat="1">
      <c r="A22" s="204">
        <f t="shared" si="0"/>
        <v>12</v>
      </c>
      <c r="B22" s="545" t="s">
        <v>613</v>
      </c>
      <c r="C22" s="515">
        <v>458</v>
      </c>
      <c r="D22" s="515">
        <v>52</v>
      </c>
      <c r="E22" s="517">
        <v>0</v>
      </c>
      <c r="F22" s="518">
        <f>SUM(C22:E22)</f>
        <v>510</v>
      </c>
      <c r="G22" s="521"/>
      <c r="H22" s="521"/>
      <c r="I22" s="521"/>
      <c r="J22" s="1037">
        <v>3861</v>
      </c>
      <c r="K22" s="521"/>
      <c r="L22" s="521"/>
      <c r="M22" s="518"/>
      <c r="N22" s="390">
        <v>62</v>
      </c>
      <c r="O22" s="518"/>
      <c r="P22" s="518"/>
      <c r="Q22" s="518"/>
      <c r="R22" s="518">
        <v>0</v>
      </c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</row>
    <row r="23" spans="1:45">
      <c r="A23" s="204">
        <f t="shared" si="0"/>
        <v>13</v>
      </c>
      <c r="B23" s="545" t="s">
        <v>612</v>
      </c>
      <c r="C23" s="515">
        <v>645</v>
      </c>
      <c r="D23" s="515">
        <v>9</v>
      </c>
      <c r="E23" s="517">
        <v>0</v>
      </c>
      <c r="F23" s="518">
        <f>SUM(C23:E23)</f>
        <v>654</v>
      </c>
      <c r="G23" s="521"/>
      <c r="H23" s="521"/>
      <c r="I23" s="521"/>
      <c r="J23" s="1038"/>
      <c r="K23" s="521"/>
      <c r="L23" s="521"/>
      <c r="M23" s="518"/>
      <c r="N23" s="390">
        <v>101</v>
      </c>
      <c r="O23" s="518"/>
      <c r="P23" s="518"/>
      <c r="Q23" s="518"/>
      <c r="R23" s="518">
        <v>0</v>
      </c>
    </row>
    <row r="24" spans="1:45" s="235" customFormat="1" ht="16.149999999999999" customHeight="1">
      <c r="A24" s="204">
        <f t="shared" si="0"/>
        <v>14</v>
      </c>
      <c r="B24" s="204" t="s">
        <v>591</v>
      </c>
      <c r="C24" s="517">
        <v>514</v>
      </c>
      <c r="D24" s="517">
        <v>10</v>
      </c>
      <c r="E24" s="517">
        <v>0</v>
      </c>
      <c r="F24" s="518">
        <f t="shared" si="1"/>
        <v>524</v>
      </c>
      <c r="G24" s="518"/>
      <c r="H24" s="518"/>
      <c r="I24" s="518"/>
      <c r="J24" s="1038"/>
      <c r="K24" s="518"/>
      <c r="L24" s="518"/>
      <c r="M24" s="518"/>
      <c r="N24" s="519">
        <v>79</v>
      </c>
      <c r="O24" s="518"/>
      <c r="P24" s="518"/>
      <c r="Q24" s="518"/>
      <c r="R24" s="518">
        <v>0</v>
      </c>
    </row>
    <row r="25" spans="1:45" s="235" customFormat="1" ht="16.149999999999999" customHeight="1">
      <c r="A25" s="204">
        <f t="shared" si="0"/>
        <v>15</v>
      </c>
      <c r="B25" s="204" t="s">
        <v>592</v>
      </c>
      <c r="C25" s="517">
        <v>823</v>
      </c>
      <c r="D25" s="517">
        <v>1</v>
      </c>
      <c r="E25" s="517">
        <v>0</v>
      </c>
      <c r="F25" s="518">
        <f t="shared" si="1"/>
        <v>824</v>
      </c>
      <c r="G25" s="518"/>
      <c r="H25" s="518"/>
      <c r="I25" s="518"/>
      <c r="J25" s="1038"/>
      <c r="K25" s="518"/>
      <c r="L25" s="518"/>
      <c r="M25" s="518"/>
      <c r="N25" s="519">
        <v>94</v>
      </c>
      <c r="O25" s="518"/>
      <c r="P25" s="518"/>
      <c r="Q25" s="518"/>
      <c r="R25" s="518">
        <v>0</v>
      </c>
    </row>
    <row r="26" spans="1:45" s="235" customFormat="1" ht="16.149999999999999" customHeight="1">
      <c r="A26" s="204">
        <f t="shared" si="0"/>
        <v>16</v>
      </c>
      <c r="B26" s="204" t="s">
        <v>597</v>
      </c>
      <c r="C26" s="517">
        <v>913</v>
      </c>
      <c r="D26" s="517">
        <v>5</v>
      </c>
      <c r="E26" s="517">
        <v>0</v>
      </c>
      <c r="F26" s="518">
        <f t="shared" si="1"/>
        <v>918</v>
      </c>
      <c r="G26" s="518"/>
      <c r="H26" s="518"/>
      <c r="I26" s="518"/>
      <c r="J26" s="1038"/>
      <c r="K26" s="518"/>
      <c r="L26" s="518"/>
      <c r="M26" s="518"/>
      <c r="N26" s="519">
        <v>90</v>
      </c>
      <c r="O26" s="518"/>
      <c r="P26" s="518"/>
      <c r="Q26" s="518"/>
      <c r="R26" s="518">
        <v>0</v>
      </c>
    </row>
    <row r="27" spans="1:45" s="235" customFormat="1" ht="16.149999999999999" customHeight="1">
      <c r="A27" s="204">
        <f>A34+1</f>
        <v>18</v>
      </c>
      <c r="B27" s="629" t="s">
        <v>684</v>
      </c>
      <c r="C27" s="648">
        <v>0</v>
      </c>
      <c r="D27" s="648">
        <v>0</v>
      </c>
      <c r="E27" s="517">
        <v>0</v>
      </c>
      <c r="F27" s="518">
        <f t="shared" si="1"/>
        <v>0</v>
      </c>
      <c r="G27" s="518"/>
      <c r="H27" s="518"/>
      <c r="I27" s="518"/>
      <c r="J27" s="1039"/>
      <c r="K27" s="518"/>
      <c r="L27" s="520"/>
      <c r="M27" s="518"/>
      <c r="N27" s="520">
        <v>0</v>
      </c>
      <c r="O27" s="518"/>
      <c r="P27" s="518"/>
      <c r="Q27" s="518"/>
      <c r="R27" s="518">
        <v>0</v>
      </c>
    </row>
    <row r="28" spans="1:45" s="235" customFormat="1" ht="16.149999999999999" customHeight="1">
      <c r="A28" s="204">
        <f t="shared" si="0"/>
        <v>19</v>
      </c>
      <c r="B28" s="204" t="s">
        <v>603</v>
      </c>
      <c r="C28" s="517">
        <v>1150</v>
      </c>
      <c r="D28" s="517">
        <v>40</v>
      </c>
      <c r="E28" s="517">
        <v>0</v>
      </c>
      <c r="F28" s="518">
        <f t="shared" si="1"/>
        <v>1190</v>
      </c>
      <c r="G28" s="518"/>
      <c r="H28" s="518"/>
      <c r="I28" s="518"/>
      <c r="J28" s="1034">
        <v>2341</v>
      </c>
      <c r="K28" s="518"/>
      <c r="L28" s="518"/>
      <c r="M28" s="518"/>
      <c r="N28" s="519">
        <v>85</v>
      </c>
      <c r="O28" s="518"/>
      <c r="P28" s="518"/>
      <c r="Q28" s="518"/>
      <c r="R28" s="518">
        <v>0</v>
      </c>
    </row>
    <row r="29" spans="1:45" s="235" customFormat="1" ht="16.149999999999999" customHeight="1">
      <c r="A29" s="204">
        <f t="shared" si="0"/>
        <v>20</v>
      </c>
      <c r="B29" s="204" t="s">
        <v>594</v>
      </c>
      <c r="C29" s="517">
        <v>1002</v>
      </c>
      <c r="D29" s="517">
        <v>5</v>
      </c>
      <c r="E29" s="517">
        <v>0</v>
      </c>
      <c r="F29" s="518">
        <f t="shared" si="1"/>
        <v>1007</v>
      </c>
      <c r="G29" s="518"/>
      <c r="H29" s="518"/>
      <c r="I29" s="518"/>
      <c r="J29" s="1036"/>
      <c r="K29" s="518"/>
      <c r="L29" s="518"/>
      <c r="M29" s="518"/>
      <c r="N29" s="519">
        <v>78</v>
      </c>
      <c r="O29" s="518"/>
      <c r="P29" s="518"/>
      <c r="Q29" s="518"/>
      <c r="R29" s="518">
        <v>0</v>
      </c>
    </row>
    <row r="30" spans="1:45" s="235" customFormat="1" ht="16.149999999999999" customHeight="1">
      <c r="A30" s="204">
        <f t="shared" si="0"/>
        <v>21</v>
      </c>
      <c r="B30" s="204" t="s">
        <v>598</v>
      </c>
      <c r="C30" s="517">
        <v>1311</v>
      </c>
      <c r="D30" s="517">
        <v>16</v>
      </c>
      <c r="E30" s="517">
        <v>0</v>
      </c>
      <c r="F30" s="518">
        <f t="shared" si="1"/>
        <v>1327</v>
      </c>
      <c r="G30" s="518"/>
      <c r="H30" s="518"/>
      <c r="I30" s="518"/>
      <c r="J30" s="1034">
        <v>4082</v>
      </c>
      <c r="K30" s="518"/>
      <c r="L30" s="518"/>
      <c r="M30" s="518"/>
      <c r="N30" s="519">
        <v>181</v>
      </c>
      <c r="O30" s="518"/>
      <c r="P30" s="518"/>
      <c r="Q30" s="518"/>
      <c r="R30" s="518">
        <v>0</v>
      </c>
    </row>
    <row r="31" spans="1:45" s="235" customFormat="1" ht="16.149999999999999" customHeight="1">
      <c r="A31" s="204">
        <f t="shared" si="0"/>
        <v>22</v>
      </c>
      <c r="B31" s="629" t="s">
        <v>683</v>
      </c>
      <c r="C31" s="648">
        <v>0</v>
      </c>
      <c r="D31" s="648">
        <v>0</v>
      </c>
      <c r="E31" s="517">
        <v>0</v>
      </c>
      <c r="F31" s="518">
        <f t="shared" si="1"/>
        <v>0</v>
      </c>
      <c r="G31" s="518"/>
      <c r="H31" s="518"/>
      <c r="I31" s="518"/>
      <c r="J31" s="1035"/>
      <c r="K31" s="518"/>
      <c r="L31" s="520"/>
      <c r="M31" s="518"/>
      <c r="N31" s="520">
        <v>0</v>
      </c>
      <c r="O31" s="518"/>
      <c r="P31" s="518"/>
      <c r="Q31" s="518"/>
      <c r="R31" s="518">
        <v>0</v>
      </c>
    </row>
    <row r="32" spans="1:45" s="235" customFormat="1" ht="16.149999999999999" customHeight="1">
      <c r="A32" s="204">
        <f t="shared" si="0"/>
        <v>23</v>
      </c>
      <c r="B32" s="204" t="s">
        <v>601</v>
      </c>
      <c r="C32" s="517">
        <v>824</v>
      </c>
      <c r="D32" s="517">
        <v>14</v>
      </c>
      <c r="E32" s="517">
        <v>0</v>
      </c>
      <c r="F32" s="518">
        <f t="shared" si="1"/>
        <v>838</v>
      </c>
      <c r="G32" s="518"/>
      <c r="H32" s="518"/>
      <c r="I32" s="518"/>
      <c r="J32" s="1035"/>
      <c r="K32" s="518"/>
      <c r="L32" s="518"/>
      <c r="M32" s="518"/>
      <c r="N32" s="519">
        <v>100</v>
      </c>
      <c r="O32" s="518"/>
      <c r="P32" s="518"/>
      <c r="Q32" s="518"/>
      <c r="R32" s="518">
        <v>0</v>
      </c>
    </row>
    <row r="33" spans="1:22">
      <c r="A33" s="204">
        <f t="shared" si="0"/>
        <v>24</v>
      </c>
      <c r="B33" s="545" t="s">
        <v>611</v>
      </c>
      <c r="C33" s="515">
        <v>511</v>
      </c>
      <c r="D33" s="515">
        <v>3</v>
      </c>
      <c r="E33" s="517">
        <v>0</v>
      </c>
      <c r="F33" s="518">
        <f t="shared" si="1"/>
        <v>514</v>
      </c>
      <c r="G33" s="521"/>
      <c r="H33" s="521"/>
      <c r="I33" s="521"/>
      <c r="J33" s="1035"/>
      <c r="K33" s="521"/>
      <c r="L33" s="521"/>
      <c r="M33" s="518"/>
      <c r="N33" s="390">
        <v>133</v>
      </c>
      <c r="O33" s="518"/>
      <c r="P33" s="518"/>
      <c r="Q33" s="518"/>
      <c r="R33" s="518">
        <v>0</v>
      </c>
    </row>
    <row r="34" spans="1:22" s="235" customFormat="1" ht="16.149999999999999" customHeight="1">
      <c r="A34" s="204">
        <f>A26+1</f>
        <v>17</v>
      </c>
      <c r="B34" s="204" t="s">
        <v>593</v>
      </c>
      <c r="C34" s="517">
        <v>460</v>
      </c>
      <c r="D34" s="517">
        <v>2</v>
      </c>
      <c r="E34" s="517">
        <v>0</v>
      </c>
      <c r="F34" s="518">
        <f t="shared" si="1"/>
        <v>462</v>
      </c>
      <c r="G34" s="518"/>
      <c r="H34" s="518"/>
      <c r="I34" s="518"/>
      <c r="J34" s="1036"/>
      <c r="K34" s="518"/>
      <c r="L34" s="518"/>
      <c r="M34" s="518"/>
      <c r="N34" s="519">
        <v>59</v>
      </c>
      <c r="O34" s="518"/>
      <c r="P34" s="518"/>
      <c r="Q34" s="518"/>
      <c r="R34" s="518">
        <v>0</v>
      </c>
    </row>
    <row r="35" spans="1:22" s="235" customFormat="1" ht="16.149999999999999" customHeight="1">
      <c r="A35" s="204">
        <f>A33+1</f>
        <v>25</v>
      </c>
      <c r="B35" s="204" t="s">
        <v>607</v>
      </c>
      <c r="C35" s="517">
        <v>1272</v>
      </c>
      <c r="D35" s="517">
        <v>5</v>
      </c>
      <c r="E35" s="517">
        <v>0</v>
      </c>
      <c r="F35" s="518">
        <f t="shared" si="1"/>
        <v>1277</v>
      </c>
      <c r="G35" s="518"/>
      <c r="H35" s="518"/>
      <c r="I35" s="518"/>
      <c r="J35" s="1034">
        <v>3699</v>
      </c>
      <c r="K35" s="518"/>
      <c r="L35" s="518"/>
      <c r="M35" s="518"/>
      <c r="N35" s="390">
        <v>284</v>
      </c>
      <c r="O35" s="518"/>
      <c r="P35" s="518"/>
      <c r="Q35" s="518"/>
      <c r="R35" s="518">
        <v>0</v>
      </c>
    </row>
    <row r="36" spans="1:22" s="235" customFormat="1" ht="16.149999999999999" customHeight="1">
      <c r="A36" s="204">
        <f t="shared" si="0"/>
        <v>26</v>
      </c>
      <c r="B36" s="204" t="s">
        <v>599</v>
      </c>
      <c r="C36" s="517">
        <v>905</v>
      </c>
      <c r="D36" s="517">
        <v>2</v>
      </c>
      <c r="E36" s="517">
        <v>0</v>
      </c>
      <c r="F36" s="518">
        <f t="shared" si="1"/>
        <v>907</v>
      </c>
      <c r="G36" s="518"/>
      <c r="H36" s="518"/>
      <c r="I36" s="518"/>
      <c r="J36" s="1035"/>
      <c r="K36" s="518"/>
      <c r="L36" s="518"/>
      <c r="M36" s="518"/>
      <c r="N36" s="519">
        <v>203</v>
      </c>
      <c r="O36" s="518"/>
      <c r="P36" s="518"/>
      <c r="Q36" s="518"/>
      <c r="R36" s="518">
        <v>0</v>
      </c>
    </row>
    <row r="37" spans="1:22" s="235" customFormat="1" ht="16.149999999999999" customHeight="1">
      <c r="A37" s="204">
        <f t="shared" si="0"/>
        <v>27</v>
      </c>
      <c r="B37" s="204" t="s">
        <v>608</v>
      </c>
      <c r="C37" s="517">
        <v>989</v>
      </c>
      <c r="D37" s="517">
        <v>2</v>
      </c>
      <c r="E37" s="517">
        <v>0</v>
      </c>
      <c r="F37" s="518">
        <f>SUM(C37:E37)</f>
        <v>991</v>
      </c>
      <c r="G37" s="518"/>
      <c r="H37" s="518"/>
      <c r="I37" s="518"/>
      <c r="J37" s="1036"/>
      <c r="K37" s="518"/>
      <c r="L37" s="518"/>
      <c r="M37" s="518"/>
      <c r="N37" s="390">
        <v>277</v>
      </c>
      <c r="O37" s="518"/>
      <c r="P37" s="518"/>
      <c r="Q37" s="518"/>
      <c r="R37" s="518">
        <v>0</v>
      </c>
    </row>
    <row r="38" spans="1:22" s="235" customFormat="1" ht="16.149999999999999" customHeight="1">
      <c r="A38" s="204">
        <f t="shared" si="0"/>
        <v>28</v>
      </c>
      <c r="B38" s="204" t="s">
        <v>602</v>
      </c>
      <c r="C38" s="517">
        <v>1381</v>
      </c>
      <c r="D38" s="517">
        <v>37</v>
      </c>
      <c r="E38" s="517">
        <v>0</v>
      </c>
      <c r="F38" s="518">
        <f t="shared" si="1"/>
        <v>1418</v>
      </c>
      <c r="G38" s="518"/>
      <c r="H38" s="518"/>
      <c r="I38" s="518"/>
      <c r="J38" s="1034">
        <v>3952</v>
      </c>
      <c r="K38" s="518"/>
      <c r="L38" s="518"/>
      <c r="M38" s="518"/>
      <c r="N38" s="519">
        <v>177</v>
      </c>
      <c r="O38" s="518"/>
      <c r="P38" s="518"/>
      <c r="Q38" s="518"/>
      <c r="R38" s="518">
        <v>0</v>
      </c>
    </row>
    <row r="39" spans="1:22">
      <c r="A39" s="204">
        <f t="shared" si="0"/>
        <v>29</v>
      </c>
      <c r="B39" s="204" t="s">
        <v>609</v>
      </c>
      <c r="C39" s="517">
        <v>944</v>
      </c>
      <c r="D39" s="517">
        <v>18</v>
      </c>
      <c r="E39" s="517">
        <v>0</v>
      </c>
      <c r="F39" s="518">
        <f>SUM(C39:E39)</f>
        <v>962</v>
      </c>
      <c r="G39" s="521"/>
      <c r="H39" s="521"/>
      <c r="I39" s="521"/>
      <c r="J39" s="1035"/>
      <c r="K39" s="521"/>
      <c r="L39" s="518"/>
      <c r="M39" s="518"/>
      <c r="N39" s="390">
        <v>176</v>
      </c>
      <c r="O39" s="518"/>
      <c r="P39" s="518"/>
      <c r="Q39" s="518"/>
      <c r="R39" s="518">
        <v>0</v>
      </c>
    </row>
    <row r="40" spans="1:22">
      <c r="A40" s="204">
        <f t="shared" si="0"/>
        <v>30</v>
      </c>
      <c r="B40" s="545" t="s">
        <v>614</v>
      </c>
      <c r="C40" s="515">
        <v>672</v>
      </c>
      <c r="D40" s="515">
        <v>5</v>
      </c>
      <c r="E40" s="517">
        <v>0</v>
      </c>
      <c r="F40" s="518">
        <f>SUM(C40:E40)</f>
        <v>677</v>
      </c>
      <c r="G40" s="521"/>
      <c r="H40" s="521"/>
      <c r="I40" s="521"/>
      <c r="J40" s="1036"/>
      <c r="K40" s="521"/>
      <c r="L40" s="521"/>
      <c r="M40" s="518"/>
      <c r="N40" s="390">
        <v>50</v>
      </c>
      <c r="O40" s="518"/>
      <c r="P40" s="518"/>
      <c r="Q40" s="518"/>
      <c r="R40" s="518">
        <v>0</v>
      </c>
    </row>
    <row r="41" spans="1:22" s="235" customFormat="1" ht="16.149999999999999" customHeight="1">
      <c r="A41" s="204">
        <f t="shared" si="0"/>
        <v>31</v>
      </c>
      <c r="B41" s="204" t="s">
        <v>606</v>
      </c>
      <c r="C41" s="517">
        <v>1289</v>
      </c>
      <c r="D41" s="517">
        <v>13</v>
      </c>
      <c r="E41" s="517">
        <v>0</v>
      </c>
      <c r="F41" s="518">
        <f t="shared" ref="F41" si="2">SUM(C41:E41)</f>
        <v>1302</v>
      </c>
      <c r="G41" s="518"/>
      <c r="H41" s="518"/>
      <c r="I41" s="518"/>
      <c r="J41" s="1034">
        <v>3175</v>
      </c>
      <c r="K41" s="518"/>
      <c r="L41" s="518"/>
      <c r="M41" s="518"/>
      <c r="N41" s="390">
        <v>171</v>
      </c>
      <c r="O41" s="518"/>
      <c r="P41" s="518"/>
      <c r="Q41" s="518"/>
      <c r="R41" s="518">
        <v>0</v>
      </c>
    </row>
    <row r="42" spans="1:22" s="235" customFormat="1" ht="16.149999999999999" customHeight="1">
      <c r="A42" s="204">
        <f t="shared" si="0"/>
        <v>32</v>
      </c>
      <c r="B42" s="204" t="s">
        <v>600</v>
      </c>
      <c r="C42" s="517">
        <v>496</v>
      </c>
      <c r="D42" s="517">
        <v>12</v>
      </c>
      <c r="E42" s="517">
        <v>0</v>
      </c>
      <c r="F42" s="518">
        <f>SUM(C42:E42)</f>
        <v>508</v>
      </c>
      <c r="G42" s="518"/>
      <c r="H42" s="518"/>
      <c r="I42" s="518"/>
      <c r="J42" s="1035"/>
      <c r="K42" s="518"/>
      <c r="L42" s="518"/>
      <c r="M42" s="518"/>
      <c r="N42" s="519">
        <v>85</v>
      </c>
      <c r="O42" s="518"/>
      <c r="P42" s="518"/>
      <c r="Q42" s="518"/>
      <c r="R42" s="518">
        <v>0</v>
      </c>
    </row>
    <row r="43" spans="1:22">
      <c r="A43" s="204">
        <f t="shared" si="0"/>
        <v>33</v>
      </c>
      <c r="B43" s="204" t="s">
        <v>610</v>
      </c>
      <c r="C43" s="517">
        <v>1022</v>
      </c>
      <c r="D43" s="517">
        <v>12</v>
      </c>
      <c r="E43" s="517">
        <v>0</v>
      </c>
      <c r="F43" s="518">
        <f>SUM(C43:E43)</f>
        <v>1034</v>
      </c>
      <c r="G43" s="521"/>
      <c r="H43" s="521"/>
      <c r="I43" s="521"/>
      <c r="J43" s="1036"/>
      <c r="K43" s="521"/>
      <c r="L43" s="518"/>
      <c r="M43" s="518"/>
      <c r="N43" s="390">
        <v>133</v>
      </c>
      <c r="O43" s="518"/>
      <c r="P43" s="518"/>
      <c r="Q43" s="518"/>
      <c r="R43" s="518">
        <v>0</v>
      </c>
    </row>
    <row r="44" spans="1:22" s="296" customFormat="1" ht="15">
      <c r="A44" s="626"/>
      <c r="B44" s="414" t="s">
        <v>615</v>
      </c>
      <c r="C44" s="516">
        <f t="shared" ref="C44:R44" si="3">SUM(C11:C43)</f>
        <v>26254</v>
      </c>
      <c r="D44" s="516">
        <f t="shared" si="3"/>
        <v>373</v>
      </c>
      <c r="E44" s="516">
        <f t="shared" si="3"/>
        <v>0</v>
      </c>
      <c r="F44" s="516">
        <f t="shared" si="3"/>
        <v>26627</v>
      </c>
      <c r="G44" s="415">
        <f t="shared" si="3"/>
        <v>0</v>
      </c>
      <c r="H44" s="415">
        <f t="shared" si="3"/>
        <v>0</v>
      </c>
      <c r="I44" s="415">
        <f t="shared" si="3"/>
        <v>0</v>
      </c>
      <c r="J44" s="415">
        <f t="shared" si="3"/>
        <v>30408</v>
      </c>
      <c r="K44" s="415">
        <f t="shared" si="3"/>
        <v>0</v>
      </c>
      <c r="L44" s="415">
        <f t="shared" si="3"/>
        <v>0</v>
      </c>
      <c r="M44" s="415">
        <f t="shared" si="3"/>
        <v>0</v>
      </c>
      <c r="N44" s="415">
        <f t="shared" si="3"/>
        <v>3976</v>
      </c>
      <c r="O44" s="415">
        <f t="shared" si="3"/>
        <v>0</v>
      </c>
      <c r="P44" s="415">
        <f t="shared" si="3"/>
        <v>0</v>
      </c>
      <c r="Q44" s="415">
        <f t="shared" si="3"/>
        <v>0</v>
      </c>
      <c r="R44" s="415">
        <f t="shared" si="3"/>
        <v>0</v>
      </c>
      <c r="S44" s="416"/>
      <c r="T44" s="416"/>
      <c r="U44" s="416"/>
      <c r="V44" s="416"/>
    </row>
    <row r="46" spans="1:22" ht="15">
      <c r="A46" s="296" t="s">
        <v>734</v>
      </c>
      <c r="B46" s="296"/>
    </row>
    <row r="47" spans="1:22" ht="15">
      <c r="A47" s="296" t="s">
        <v>735</v>
      </c>
      <c r="B47" s="296"/>
    </row>
    <row r="48" spans="1:22" ht="15">
      <c r="A48" s="296"/>
      <c r="B48" s="296"/>
    </row>
    <row r="49" spans="1:18" ht="15">
      <c r="A49" s="296"/>
      <c r="B49" s="296"/>
    </row>
    <row r="50" spans="1:18" ht="15.75">
      <c r="O50" s="761" t="s">
        <v>908</v>
      </c>
      <c r="P50" s="761"/>
      <c r="Q50" s="761"/>
      <c r="R50" s="761"/>
    </row>
    <row r="51" spans="1:18" ht="15.75">
      <c r="O51" s="761" t="s">
        <v>646</v>
      </c>
      <c r="P51" s="761"/>
      <c r="Q51" s="761"/>
      <c r="R51" s="761"/>
    </row>
  </sheetData>
  <mergeCells count="21">
    <mergeCell ref="G1:M1"/>
    <mergeCell ref="E2:O2"/>
    <mergeCell ref="O8:R8"/>
    <mergeCell ref="C8:F8"/>
    <mergeCell ref="K8:N8"/>
    <mergeCell ref="G8:J8"/>
    <mergeCell ref="O50:R50"/>
    <mergeCell ref="O51:R51"/>
    <mergeCell ref="B4:T4"/>
    <mergeCell ref="A6:B6"/>
    <mergeCell ref="A8:A9"/>
    <mergeCell ref="B8:B9"/>
    <mergeCell ref="J11:J14"/>
    <mergeCell ref="J15:J16"/>
    <mergeCell ref="J18:J21"/>
    <mergeCell ref="J22:J27"/>
    <mergeCell ref="J28:J29"/>
    <mergeCell ref="J30:J34"/>
    <mergeCell ref="J35:J37"/>
    <mergeCell ref="J38:J40"/>
    <mergeCell ref="J41:J43"/>
  </mergeCells>
  <phoneticPr fontId="0" type="noConversion"/>
  <printOptions horizontalCentered="1"/>
  <pageMargins left="0.42" right="0.44" top="0.45" bottom="0" header="0.31496062992125984" footer="0.31496062992125984"/>
  <pageSetup paperSize="9" scale="63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view="pageBreakPreview" zoomScale="70" zoomScaleNormal="70" zoomScaleSheetLayoutView="70" workbookViewId="0">
      <selection activeCell="C11" sqref="C11:S44"/>
    </sheetView>
  </sheetViews>
  <sheetFormatPr defaultColWidth="9.140625" defaultRowHeight="14.25"/>
  <cols>
    <col min="1" max="1" width="9.140625" style="229"/>
    <col min="2" max="2" width="14.7109375" style="229" customWidth="1"/>
    <col min="3" max="3" width="15.42578125" style="229" customWidth="1"/>
    <col min="4" max="4" width="14.85546875" style="229" customWidth="1"/>
    <col min="5" max="5" width="11.85546875" style="229" customWidth="1"/>
    <col min="6" max="6" width="9.85546875" style="229" customWidth="1"/>
    <col min="7" max="7" width="12.7109375" style="229" customWidth="1"/>
    <col min="8" max="9" width="11" style="229" customWidth="1"/>
    <col min="10" max="10" width="14.140625" style="229" customWidth="1"/>
    <col min="11" max="11" width="12.28515625" style="229" customWidth="1"/>
    <col min="12" max="12" width="13.140625" style="229" customWidth="1"/>
    <col min="13" max="13" width="9.7109375" style="229" customWidth="1"/>
    <col min="14" max="14" width="9.5703125" style="229" customWidth="1"/>
    <col min="15" max="15" width="12.7109375" style="229" customWidth="1"/>
    <col min="16" max="16" width="13.28515625" style="229" customWidth="1"/>
    <col min="17" max="17" width="11.28515625" style="229" customWidth="1"/>
    <col min="18" max="18" width="9.28515625" style="229" customWidth="1"/>
    <col min="19" max="19" width="9.7109375" style="229" bestFit="1" customWidth="1"/>
    <col min="20" max="20" width="12.28515625" style="229" customWidth="1"/>
    <col min="21" max="16384" width="9.140625" style="229"/>
  </cols>
  <sheetData>
    <row r="1" spans="1:20" s="173" customFormat="1" ht="15.75">
      <c r="C1" s="27"/>
      <c r="D1" s="27"/>
      <c r="E1" s="27"/>
      <c r="F1" s="27"/>
      <c r="G1" s="27"/>
      <c r="H1" s="27"/>
      <c r="I1" s="49" t="s">
        <v>0</v>
      </c>
      <c r="J1" s="27"/>
      <c r="Q1" s="862" t="s">
        <v>533</v>
      </c>
      <c r="R1" s="862"/>
    </row>
    <row r="2" spans="1:20" s="173" customFormat="1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</row>
    <row r="3" spans="1:20" s="173" customFormat="1" ht="20.25">
      <c r="G3" s="157"/>
      <c r="H3" s="157"/>
      <c r="I3" s="157"/>
      <c r="J3" s="157"/>
      <c r="K3" s="157"/>
      <c r="L3" s="157"/>
      <c r="M3" s="157"/>
      <c r="N3" s="26"/>
      <c r="O3" s="26"/>
      <c r="P3" s="26"/>
      <c r="Q3" s="26"/>
    </row>
    <row r="4" spans="1:20" ht="18">
      <c r="A4" s="1031" t="s">
        <v>678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421"/>
    </row>
    <row r="5" spans="1:20" ht="15.75">
      <c r="C5" s="230"/>
      <c r="D5" s="37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0" ht="15">
      <c r="A6" s="238" t="s">
        <v>663</v>
      </c>
    </row>
    <row r="7" spans="1:20">
      <c r="B7" s="231"/>
      <c r="Q7" s="239" t="s">
        <v>135</v>
      </c>
    </row>
    <row r="8" spans="1:20" s="232" customFormat="1" ht="32.450000000000003" customHeight="1">
      <c r="A8" s="668" t="s">
        <v>2</v>
      </c>
      <c r="B8" s="1032" t="s">
        <v>3</v>
      </c>
      <c r="C8" s="1043" t="s">
        <v>445</v>
      </c>
      <c r="D8" s="1043"/>
      <c r="E8" s="1043"/>
      <c r="F8" s="1043"/>
      <c r="G8" s="1043" t="s">
        <v>446</v>
      </c>
      <c r="H8" s="1043"/>
      <c r="I8" s="1043"/>
      <c r="J8" s="1043"/>
      <c r="K8" s="1043" t="s">
        <v>447</v>
      </c>
      <c r="L8" s="1043"/>
      <c r="M8" s="1043"/>
      <c r="N8" s="1043"/>
      <c r="O8" s="1043" t="s">
        <v>448</v>
      </c>
      <c r="P8" s="1043"/>
      <c r="Q8" s="1043"/>
      <c r="R8" s="1032"/>
      <c r="S8" s="1045" t="s">
        <v>158</v>
      </c>
    </row>
    <row r="9" spans="1:20" s="234" customFormat="1" ht="75" customHeight="1">
      <c r="A9" s="668"/>
      <c r="B9" s="1033"/>
      <c r="C9" s="191" t="s">
        <v>155</v>
      </c>
      <c r="D9" s="240" t="s">
        <v>157</v>
      </c>
      <c r="E9" s="191" t="s">
        <v>134</v>
      </c>
      <c r="F9" s="240" t="s">
        <v>156</v>
      </c>
      <c r="G9" s="191" t="s">
        <v>238</v>
      </c>
      <c r="H9" s="240" t="s">
        <v>157</v>
      </c>
      <c r="I9" s="191" t="s">
        <v>134</v>
      </c>
      <c r="J9" s="240" t="s">
        <v>156</v>
      </c>
      <c r="K9" s="191" t="s">
        <v>238</v>
      </c>
      <c r="L9" s="240" t="s">
        <v>157</v>
      </c>
      <c r="M9" s="191" t="s">
        <v>134</v>
      </c>
      <c r="N9" s="240" t="s">
        <v>156</v>
      </c>
      <c r="O9" s="191" t="s">
        <v>238</v>
      </c>
      <c r="P9" s="240" t="s">
        <v>157</v>
      </c>
      <c r="Q9" s="191" t="s">
        <v>134</v>
      </c>
      <c r="R9" s="36" t="s">
        <v>156</v>
      </c>
      <c r="S9" s="1045"/>
    </row>
    <row r="10" spans="1:20" s="234" customFormat="1" ht="16.149999999999999" customHeight="1">
      <c r="A10" s="150">
        <v>1</v>
      </c>
      <c r="B10" s="192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61">
        <v>18</v>
      </c>
      <c r="S10" s="241">
        <v>19</v>
      </c>
    </row>
    <row r="11" spans="1:20" s="234" customFormat="1" ht="16.149999999999999" customHeight="1">
      <c r="A11" s="204">
        <v>1</v>
      </c>
      <c r="B11" s="204" t="s">
        <v>624</v>
      </c>
      <c r="C11" s="1046" t="s">
        <v>629</v>
      </c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8"/>
    </row>
    <row r="12" spans="1:20" s="234" customFormat="1" ht="16.149999999999999" customHeight="1">
      <c r="A12" s="204">
        <f>A11+1</f>
        <v>2</v>
      </c>
      <c r="B12" s="204" t="s">
        <v>589</v>
      </c>
      <c r="C12" s="1049"/>
      <c r="D12" s="1050"/>
      <c r="E12" s="1050"/>
      <c r="F12" s="1050"/>
      <c r="G12" s="1050"/>
      <c r="H12" s="1050"/>
      <c r="I12" s="1050"/>
      <c r="J12" s="1050"/>
      <c r="K12" s="1050"/>
      <c r="L12" s="1050"/>
      <c r="M12" s="1050"/>
      <c r="N12" s="1050"/>
      <c r="O12" s="1050"/>
      <c r="P12" s="1050"/>
      <c r="Q12" s="1050"/>
      <c r="R12" s="1050"/>
      <c r="S12" s="1051"/>
    </row>
    <row r="13" spans="1:20" s="234" customFormat="1" ht="16.149999999999999" customHeight="1">
      <c r="A13" s="204">
        <f t="shared" ref="A13:A43" si="0">A12+1</f>
        <v>3</v>
      </c>
      <c r="B13" s="204" t="s">
        <v>625</v>
      </c>
      <c r="C13" s="1049"/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1"/>
    </row>
    <row r="14" spans="1:20" s="234" customFormat="1" ht="16.149999999999999" customHeight="1">
      <c r="A14" s="204">
        <f t="shared" si="0"/>
        <v>4</v>
      </c>
      <c r="B14" s="204" t="s">
        <v>590</v>
      </c>
      <c r="C14" s="1049"/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1"/>
    </row>
    <row r="15" spans="1:20" s="234" customFormat="1" ht="16.149999999999999" customHeight="1">
      <c r="A15" s="204">
        <f t="shared" si="0"/>
        <v>5</v>
      </c>
      <c r="B15" s="204" t="s">
        <v>591</v>
      </c>
      <c r="C15" s="1049"/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1"/>
    </row>
    <row r="16" spans="1:20" s="234" customFormat="1" ht="16.149999999999999" customHeight="1">
      <c r="A16" s="204">
        <f t="shared" si="0"/>
        <v>6</v>
      </c>
      <c r="B16" s="204" t="s">
        <v>592</v>
      </c>
      <c r="C16" s="1049"/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1"/>
    </row>
    <row r="17" spans="1:19" s="234" customFormat="1" ht="16.149999999999999" customHeight="1">
      <c r="A17" s="204">
        <f t="shared" si="0"/>
        <v>7</v>
      </c>
      <c r="B17" s="204" t="s">
        <v>593</v>
      </c>
      <c r="C17" s="1049"/>
      <c r="D17" s="1050"/>
      <c r="E17" s="1050"/>
      <c r="F17" s="1050"/>
      <c r="G17" s="1050"/>
      <c r="H17" s="1050"/>
      <c r="I17" s="1050"/>
      <c r="J17" s="1050"/>
      <c r="K17" s="1050"/>
      <c r="L17" s="1050"/>
      <c r="M17" s="1050"/>
      <c r="N17" s="1050"/>
      <c r="O17" s="1050"/>
      <c r="P17" s="1050"/>
      <c r="Q17" s="1050"/>
      <c r="R17" s="1050"/>
      <c r="S17" s="1051"/>
    </row>
    <row r="18" spans="1:19" s="234" customFormat="1" ht="16.149999999999999" customHeight="1">
      <c r="A18" s="204">
        <f t="shared" si="0"/>
        <v>8</v>
      </c>
      <c r="B18" s="204" t="s">
        <v>594</v>
      </c>
      <c r="C18" s="1049"/>
      <c r="D18" s="1050"/>
      <c r="E18" s="1050"/>
      <c r="F18" s="1050"/>
      <c r="G18" s="1050"/>
      <c r="H18" s="1050"/>
      <c r="I18" s="1050"/>
      <c r="J18" s="1050"/>
      <c r="K18" s="1050"/>
      <c r="L18" s="1050"/>
      <c r="M18" s="1050"/>
      <c r="N18" s="1050"/>
      <c r="O18" s="1050"/>
      <c r="P18" s="1050"/>
      <c r="Q18" s="1050"/>
      <c r="R18" s="1050"/>
      <c r="S18" s="1051"/>
    </row>
    <row r="19" spans="1:19" s="234" customFormat="1" ht="16.149999999999999" customHeight="1">
      <c r="A19" s="204">
        <f t="shared" si="0"/>
        <v>9</v>
      </c>
      <c r="B19" s="204" t="s">
        <v>595</v>
      </c>
      <c r="C19" s="1049"/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1"/>
    </row>
    <row r="20" spans="1:19" s="234" customFormat="1" ht="16.149999999999999" customHeight="1">
      <c r="A20" s="204">
        <f t="shared" si="0"/>
        <v>10</v>
      </c>
      <c r="B20" s="204" t="s">
        <v>596</v>
      </c>
      <c r="C20" s="1049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1"/>
    </row>
    <row r="21" spans="1:19" s="234" customFormat="1" ht="16.149999999999999" customHeight="1">
      <c r="A21" s="204">
        <f t="shared" si="0"/>
        <v>11</v>
      </c>
      <c r="B21" s="204" t="s">
        <v>626</v>
      </c>
      <c r="C21" s="1049"/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0"/>
      <c r="P21" s="1050"/>
      <c r="Q21" s="1050"/>
      <c r="R21" s="1050"/>
      <c r="S21" s="1051"/>
    </row>
    <row r="22" spans="1:19" s="234" customFormat="1" ht="16.149999999999999" customHeight="1">
      <c r="A22" s="204">
        <f t="shared" si="0"/>
        <v>12</v>
      </c>
      <c r="B22" s="204" t="s">
        <v>597</v>
      </c>
      <c r="C22" s="1049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1"/>
    </row>
    <row r="23" spans="1:19" s="234" customFormat="1" ht="16.149999999999999" customHeight="1">
      <c r="A23" s="204">
        <f t="shared" si="0"/>
        <v>13</v>
      </c>
      <c r="B23" s="204" t="s">
        <v>598</v>
      </c>
      <c r="C23" s="1049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1"/>
    </row>
    <row r="24" spans="1:19" s="234" customFormat="1" ht="16.149999999999999" customHeight="1">
      <c r="A24" s="204">
        <f t="shared" si="0"/>
        <v>14</v>
      </c>
      <c r="B24" s="204" t="s">
        <v>627</v>
      </c>
      <c r="C24" s="1049"/>
      <c r="D24" s="1050"/>
      <c r="E24" s="1050"/>
      <c r="F24" s="1050"/>
      <c r="G24" s="1050"/>
      <c r="H24" s="1050"/>
      <c r="I24" s="1050"/>
      <c r="J24" s="1050"/>
      <c r="K24" s="1050"/>
      <c r="L24" s="1050"/>
      <c r="M24" s="1050"/>
      <c r="N24" s="1050"/>
      <c r="O24" s="1050"/>
      <c r="P24" s="1050"/>
      <c r="Q24" s="1050"/>
      <c r="R24" s="1050"/>
      <c r="S24" s="1051"/>
    </row>
    <row r="25" spans="1:19" s="234" customFormat="1" ht="16.149999999999999" customHeight="1">
      <c r="A25" s="204">
        <f t="shared" si="0"/>
        <v>15</v>
      </c>
      <c r="B25" s="204" t="s">
        <v>599</v>
      </c>
      <c r="C25" s="1049"/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0"/>
      <c r="O25" s="1050"/>
      <c r="P25" s="1050"/>
      <c r="Q25" s="1050"/>
      <c r="R25" s="1050"/>
      <c r="S25" s="1051"/>
    </row>
    <row r="26" spans="1:19" s="234" customFormat="1" ht="16.149999999999999" customHeight="1">
      <c r="A26" s="204">
        <f t="shared" si="0"/>
        <v>16</v>
      </c>
      <c r="B26" s="204" t="s">
        <v>600</v>
      </c>
      <c r="C26" s="1049"/>
      <c r="D26" s="1050"/>
      <c r="E26" s="1050"/>
      <c r="F26" s="1050"/>
      <c r="G26" s="1050"/>
      <c r="H26" s="1050"/>
      <c r="I26" s="1050"/>
      <c r="J26" s="1050"/>
      <c r="K26" s="1050"/>
      <c r="L26" s="1050"/>
      <c r="M26" s="1050"/>
      <c r="N26" s="1050"/>
      <c r="O26" s="1050"/>
      <c r="P26" s="1050"/>
      <c r="Q26" s="1050"/>
      <c r="R26" s="1050"/>
      <c r="S26" s="1051"/>
    </row>
    <row r="27" spans="1:19" s="234" customFormat="1" ht="16.149999999999999" customHeight="1">
      <c r="A27" s="204">
        <f t="shared" si="0"/>
        <v>17</v>
      </c>
      <c r="B27" s="426" t="s">
        <v>684</v>
      </c>
      <c r="C27" s="1049"/>
      <c r="D27" s="1050"/>
      <c r="E27" s="1050"/>
      <c r="F27" s="1050"/>
      <c r="G27" s="1050"/>
      <c r="H27" s="1050"/>
      <c r="I27" s="1050"/>
      <c r="J27" s="1050"/>
      <c r="K27" s="1050"/>
      <c r="L27" s="1050"/>
      <c r="M27" s="1050"/>
      <c r="N27" s="1050"/>
      <c r="O27" s="1050"/>
      <c r="P27" s="1050"/>
      <c r="Q27" s="1050"/>
      <c r="R27" s="1050"/>
      <c r="S27" s="1051"/>
    </row>
    <row r="28" spans="1:19" s="234" customFormat="1" ht="16.149999999999999" customHeight="1">
      <c r="A28" s="204">
        <f t="shared" si="0"/>
        <v>18</v>
      </c>
      <c r="B28" s="204" t="s">
        <v>601</v>
      </c>
      <c r="C28" s="1049"/>
      <c r="D28" s="1050"/>
      <c r="E28" s="1050"/>
      <c r="F28" s="1050"/>
      <c r="G28" s="1050"/>
      <c r="H28" s="1050"/>
      <c r="I28" s="1050"/>
      <c r="J28" s="1050"/>
      <c r="K28" s="1050"/>
      <c r="L28" s="1050"/>
      <c r="M28" s="1050"/>
      <c r="N28" s="1050"/>
      <c r="O28" s="1050"/>
      <c r="P28" s="1050"/>
      <c r="Q28" s="1050"/>
      <c r="R28" s="1050"/>
      <c r="S28" s="1051"/>
    </row>
    <row r="29" spans="1:19" s="234" customFormat="1" ht="16.149999999999999" customHeight="1">
      <c r="A29" s="204">
        <f t="shared" si="0"/>
        <v>19</v>
      </c>
      <c r="B29" s="204" t="s">
        <v>602</v>
      </c>
      <c r="C29" s="1049"/>
      <c r="D29" s="1050"/>
      <c r="E29" s="1050"/>
      <c r="F29" s="1050"/>
      <c r="G29" s="1050"/>
      <c r="H29" s="1050"/>
      <c r="I29" s="1050"/>
      <c r="J29" s="1050"/>
      <c r="K29" s="1050"/>
      <c r="L29" s="1050"/>
      <c r="M29" s="1050"/>
      <c r="N29" s="1050"/>
      <c r="O29" s="1050"/>
      <c r="P29" s="1050"/>
      <c r="Q29" s="1050"/>
      <c r="R29" s="1050"/>
      <c r="S29" s="1051"/>
    </row>
    <row r="30" spans="1:19" s="234" customFormat="1" ht="16.149999999999999" customHeight="1">
      <c r="A30" s="204">
        <f t="shared" si="0"/>
        <v>20</v>
      </c>
      <c r="B30" s="426" t="s">
        <v>685</v>
      </c>
      <c r="C30" s="1049"/>
      <c r="D30" s="1050"/>
      <c r="E30" s="1050"/>
      <c r="F30" s="1050"/>
      <c r="G30" s="1050"/>
      <c r="H30" s="1050"/>
      <c r="I30" s="1050"/>
      <c r="J30" s="1050"/>
      <c r="K30" s="1050"/>
      <c r="L30" s="1050"/>
      <c r="M30" s="1050"/>
      <c r="N30" s="1050"/>
      <c r="O30" s="1050"/>
      <c r="P30" s="1050"/>
      <c r="Q30" s="1050"/>
      <c r="R30" s="1050"/>
      <c r="S30" s="1051"/>
    </row>
    <row r="31" spans="1:19" ht="14.25" customHeight="1">
      <c r="A31" s="204">
        <f t="shared" si="0"/>
        <v>21</v>
      </c>
      <c r="B31" s="204" t="s">
        <v>628</v>
      </c>
      <c r="C31" s="1049"/>
      <c r="D31" s="1050"/>
      <c r="E31" s="1050"/>
      <c r="F31" s="1050"/>
      <c r="G31" s="1050"/>
      <c r="H31" s="1050"/>
      <c r="I31" s="1050"/>
      <c r="J31" s="1050"/>
      <c r="K31" s="1050"/>
      <c r="L31" s="1050"/>
      <c r="M31" s="1050"/>
      <c r="N31" s="1050"/>
      <c r="O31" s="1050"/>
      <c r="P31" s="1050"/>
      <c r="Q31" s="1050"/>
      <c r="R31" s="1050"/>
      <c r="S31" s="1051"/>
    </row>
    <row r="32" spans="1:19" ht="14.25" customHeight="1">
      <c r="A32" s="204">
        <f t="shared" si="0"/>
        <v>22</v>
      </c>
      <c r="B32" s="204" t="s">
        <v>603</v>
      </c>
      <c r="C32" s="1049"/>
      <c r="D32" s="1050"/>
      <c r="E32" s="1050"/>
      <c r="F32" s="1050"/>
      <c r="G32" s="1050"/>
      <c r="H32" s="1050"/>
      <c r="I32" s="1050"/>
      <c r="J32" s="1050"/>
      <c r="K32" s="1050"/>
      <c r="L32" s="1050"/>
      <c r="M32" s="1050"/>
      <c r="N32" s="1050"/>
      <c r="O32" s="1050"/>
      <c r="P32" s="1050"/>
      <c r="Q32" s="1050"/>
      <c r="R32" s="1050"/>
      <c r="S32" s="1051"/>
    </row>
    <row r="33" spans="1:45" ht="14.25" customHeight="1">
      <c r="A33" s="204">
        <f t="shared" si="0"/>
        <v>23</v>
      </c>
      <c r="B33" s="204" t="s">
        <v>604</v>
      </c>
      <c r="C33" s="1049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050"/>
      <c r="O33" s="1050"/>
      <c r="P33" s="1050"/>
      <c r="Q33" s="1050"/>
      <c r="R33" s="1050"/>
      <c r="S33" s="1051"/>
    </row>
    <row r="34" spans="1:45" ht="14.25" customHeight="1">
      <c r="A34" s="204">
        <f t="shared" si="0"/>
        <v>24</v>
      </c>
      <c r="B34" s="204" t="s">
        <v>605</v>
      </c>
      <c r="C34" s="1049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1"/>
    </row>
    <row r="35" spans="1:45" s="236" customFormat="1" ht="25.5" customHeight="1">
      <c r="A35" s="204">
        <f t="shared" si="0"/>
        <v>25</v>
      </c>
      <c r="B35" s="204" t="s">
        <v>606</v>
      </c>
      <c r="C35" s="1049"/>
      <c r="D35" s="1050"/>
      <c r="E35" s="1050"/>
      <c r="F35" s="1050"/>
      <c r="G35" s="1050"/>
      <c r="H35" s="1050"/>
      <c r="I35" s="1050"/>
      <c r="J35" s="1050"/>
      <c r="K35" s="1050"/>
      <c r="L35" s="1050"/>
      <c r="M35" s="1050"/>
      <c r="N35" s="1050"/>
      <c r="O35" s="1050"/>
      <c r="P35" s="1050"/>
      <c r="Q35" s="1050"/>
      <c r="R35" s="1050"/>
      <c r="S35" s="1051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</row>
    <row r="36" spans="1:45" ht="14.25" customHeight="1">
      <c r="A36" s="204">
        <f t="shared" si="0"/>
        <v>26</v>
      </c>
      <c r="B36" s="204" t="s">
        <v>607</v>
      </c>
      <c r="C36" s="1049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1"/>
    </row>
    <row r="37" spans="1:45" ht="14.25" customHeight="1">
      <c r="A37" s="204">
        <f t="shared" si="0"/>
        <v>27</v>
      </c>
      <c r="B37" s="204" t="s">
        <v>608</v>
      </c>
      <c r="C37" s="1049"/>
      <c r="D37" s="1050"/>
      <c r="E37" s="1050"/>
      <c r="F37" s="1050"/>
      <c r="G37" s="1050"/>
      <c r="H37" s="1050"/>
      <c r="I37" s="1050"/>
      <c r="J37" s="1050"/>
      <c r="K37" s="1050"/>
      <c r="L37" s="1050"/>
      <c r="M37" s="1050"/>
      <c r="N37" s="1050"/>
      <c r="O37" s="1050"/>
      <c r="P37" s="1050"/>
      <c r="Q37" s="1050"/>
      <c r="R37" s="1050"/>
      <c r="S37" s="1051"/>
    </row>
    <row r="38" spans="1:45" ht="14.25" customHeight="1">
      <c r="A38" s="204">
        <f t="shared" si="0"/>
        <v>28</v>
      </c>
      <c r="B38" s="204" t="s">
        <v>609</v>
      </c>
      <c r="C38" s="1049"/>
      <c r="D38" s="1050"/>
      <c r="E38" s="1050"/>
      <c r="F38" s="1050"/>
      <c r="G38" s="1050"/>
      <c r="H38" s="1050"/>
      <c r="I38" s="1050"/>
      <c r="J38" s="1050"/>
      <c r="K38" s="1050"/>
      <c r="L38" s="1050"/>
      <c r="M38" s="1050"/>
      <c r="N38" s="1050"/>
      <c r="O38" s="1050"/>
      <c r="P38" s="1050"/>
      <c r="Q38" s="1050"/>
      <c r="R38" s="1050"/>
      <c r="S38" s="1051"/>
    </row>
    <row r="39" spans="1:45" ht="14.25" customHeight="1">
      <c r="A39" s="204">
        <f t="shared" si="0"/>
        <v>29</v>
      </c>
      <c r="B39" s="204" t="s">
        <v>610</v>
      </c>
      <c r="C39" s="1049"/>
      <c r="D39" s="1050"/>
      <c r="E39" s="1050"/>
      <c r="F39" s="1050"/>
      <c r="G39" s="1050"/>
      <c r="H39" s="1050"/>
      <c r="I39" s="1050"/>
      <c r="J39" s="1050"/>
      <c r="K39" s="1050"/>
      <c r="L39" s="1050"/>
      <c r="M39" s="1050"/>
      <c r="N39" s="1050"/>
      <c r="O39" s="1050"/>
      <c r="P39" s="1050"/>
      <c r="Q39" s="1050"/>
      <c r="R39" s="1050"/>
      <c r="S39" s="1051"/>
    </row>
    <row r="40" spans="1:45" ht="14.25" customHeight="1">
      <c r="A40" s="204">
        <f t="shared" si="0"/>
        <v>30</v>
      </c>
      <c r="B40" s="143" t="s">
        <v>611</v>
      </c>
      <c r="C40" s="1049"/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0"/>
      <c r="S40" s="1051"/>
    </row>
    <row r="41" spans="1:45" ht="14.25" customHeight="1">
      <c r="A41" s="204">
        <f t="shared" si="0"/>
        <v>31</v>
      </c>
      <c r="B41" s="143" t="s">
        <v>612</v>
      </c>
      <c r="C41" s="1049"/>
      <c r="D41" s="1050"/>
      <c r="E41" s="1050"/>
      <c r="F41" s="1050"/>
      <c r="G41" s="1050"/>
      <c r="H41" s="1050"/>
      <c r="I41" s="1050"/>
      <c r="J41" s="1050"/>
      <c r="K41" s="1050"/>
      <c r="L41" s="1050"/>
      <c r="M41" s="1050"/>
      <c r="N41" s="1050"/>
      <c r="O41" s="1050"/>
      <c r="P41" s="1050"/>
      <c r="Q41" s="1050"/>
      <c r="R41" s="1050"/>
      <c r="S41" s="1051"/>
    </row>
    <row r="42" spans="1:45" s="173" customFormat="1" ht="14.25" customHeight="1">
      <c r="A42" s="204">
        <f t="shared" si="0"/>
        <v>32</v>
      </c>
      <c r="B42" s="143" t="s">
        <v>613</v>
      </c>
      <c r="C42" s="1049"/>
      <c r="D42" s="1050"/>
      <c r="E42" s="1050"/>
      <c r="F42" s="1050"/>
      <c r="G42" s="1050"/>
      <c r="H42" s="1050"/>
      <c r="I42" s="1050"/>
      <c r="J42" s="1050"/>
      <c r="K42" s="1050"/>
      <c r="L42" s="1050"/>
      <c r="M42" s="1050"/>
      <c r="N42" s="1050"/>
      <c r="O42" s="1050"/>
      <c r="P42" s="1050"/>
      <c r="Q42" s="1050"/>
      <c r="R42" s="1050"/>
      <c r="S42" s="1051"/>
    </row>
    <row r="43" spans="1:45" s="173" customFormat="1" ht="12.75" customHeight="1">
      <c r="A43" s="204">
        <f t="shared" si="0"/>
        <v>33</v>
      </c>
      <c r="B43" s="143" t="s">
        <v>614</v>
      </c>
      <c r="C43" s="1049"/>
      <c r="D43" s="1050"/>
      <c r="E43" s="1050"/>
      <c r="F43" s="1050"/>
      <c r="G43" s="1050"/>
      <c r="H43" s="1050"/>
      <c r="I43" s="1050"/>
      <c r="J43" s="1050"/>
      <c r="K43" s="1050"/>
      <c r="L43" s="1050"/>
      <c r="M43" s="1050"/>
      <c r="N43" s="1050"/>
      <c r="O43" s="1050"/>
      <c r="P43" s="1050"/>
      <c r="Q43" s="1050"/>
      <c r="R43" s="1050"/>
      <c r="S43" s="1051"/>
    </row>
    <row r="44" spans="1:45" s="5" customFormat="1" ht="12.75" customHeight="1">
      <c r="A44" s="274"/>
      <c r="B44" s="274" t="s">
        <v>615</v>
      </c>
      <c r="C44" s="1052"/>
      <c r="D44" s="1053"/>
      <c r="E44" s="1053"/>
      <c r="F44" s="1053"/>
      <c r="G44" s="1053"/>
      <c r="H44" s="1053"/>
      <c r="I44" s="1053"/>
      <c r="J44" s="1053"/>
      <c r="K44" s="1053"/>
      <c r="L44" s="1053"/>
      <c r="M44" s="1053"/>
      <c r="N44" s="1053"/>
      <c r="O44" s="1053"/>
      <c r="P44" s="1053"/>
      <c r="Q44" s="1053"/>
      <c r="R44" s="1053"/>
      <c r="S44" s="1054"/>
    </row>
    <row r="45" spans="1:45" s="173" customFormat="1" ht="15">
      <c r="A45" s="439" t="s">
        <v>728</v>
      </c>
      <c r="B45" s="5"/>
    </row>
    <row r="48" spans="1:45" ht="15.75">
      <c r="N48" s="761" t="s">
        <v>908</v>
      </c>
      <c r="O48" s="761"/>
      <c r="P48" s="761"/>
      <c r="Q48" s="761"/>
      <c r="R48" s="761"/>
      <c r="S48" s="761"/>
    </row>
    <row r="49" spans="14:19" ht="15.75">
      <c r="N49" s="761" t="s">
        <v>646</v>
      </c>
      <c r="O49" s="761"/>
      <c r="P49" s="761"/>
      <c r="Q49" s="761"/>
      <c r="R49" s="761"/>
      <c r="S49" s="761"/>
    </row>
  </sheetData>
  <mergeCells count="13">
    <mergeCell ref="N48:S48"/>
    <mergeCell ref="N49:S49"/>
    <mergeCell ref="S8:S9"/>
    <mergeCell ref="O8:R8"/>
    <mergeCell ref="Q1:R1"/>
    <mergeCell ref="A2:S2"/>
    <mergeCell ref="A4:S4"/>
    <mergeCell ref="A8:A9"/>
    <mergeCell ref="B8:B9"/>
    <mergeCell ref="C8:F8"/>
    <mergeCell ref="G8:J8"/>
    <mergeCell ref="K8:N8"/>
    <mergeCell ref="C11:S44"/>
  </mergeCells>
  <phoneticPr fontId="0" type="noConversion"/>
  <printOptions horizontalCentered="1"/>
  <pageMargins left="0.46" right="0.41" top="0.48" bottom="0" header="0.31496062992125984" footer="0.31496062992125984"/>
  <pageSetup paperSize="9" scale="62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G49"/>
  <sheetViews>
    <sheetView view="pageBreakPreview" zoomScale="60" workbookViewId="0">
      <selection activeCell="M29" sqref="M29"/>
    </sheetView>
  </sheetViews>
  <sheetFormatPr defaultRowHeight="14.25"/>
  <cols>
    <col min="1" max="1" width="9.140625" style="229"/>
    <col min="2" max="2" width="20.140625" style="229" customWidth="1"/>
    <col min="3" max="3" width="23.5703125" style="229" customWidth="1"/>
    <col min="4" max="4" width="31.140625" style="229" customWidth="1"/>
    <col min="5" max="5" width="12.7109375" style="229" customWidth="1"/>
    <col min="6" max="6" width="12.5703125" style="229" customWidth="1"/>
    <col min="7" max="7" width="13.85546875" style="229" customWidth="1"/>
    <col min="8" max="16384" width="9.140625" style="229"/>
  </cols>
  <sheetData>
    <row r="1" spans="1:9" s="449" customFormat="1" ht="15">
      <c r="C1" s="27"/>
      <c r="D1" s="27"/>
      <c r="E1" s="27"/>
      <c r="F1" s="862" t="s">
        <v>686</v>
      </c>
      <c r="G1" s="862"/>
    </row>
    <row r="2" spans="1:9" s="449" customFormat="1" ht="20.25">
      <c r="B2" s="703" t="s">
        <v>737</v>
      </c>
      <c r="C2" s="703"/>
      <c r="D2" s="703"/>
      <c r="E2" s="703"/>
      <c r="F2" s="703"/>
      <c r="G2" s="26"/>
      <c r="H2" s="26"/>
      <c r="I2" s="26"/>
    </row>
    <row r="3" spans="1:9" s="449" customFormat="1" ht="20.25">
      <c r="G3" s="446"/>
    </row>
    <row r="4" spans="1:9" ht="18">
      <c r="B4" s="1055" t="s">
        <v>687</v>
      </c>
      <c r="C4" s="1055"/>
      <c r="D4" s="1055"/>
      <c r="E4" s="1055"/>
      <c r="F4" s="1055"/>
      <c r="G4" s="1055"/>
      <c r="H4" s="1055"/>
    </row>
    <row r="5" spans="1:9" ht="15.75">
      <c r="C5" s="230"/>
      <c r="D5" s="37"/>
      <c r="E5" s="230"/>
      <c r="F5" s="230"/>
      <c r="G5" s="230"/>
      <c r="H5" s="230"/>
    </row>
    <row r="6" spans="1:9" ht="15">
      <c r="A6" s="238" t="s">
        <v>688</v>
      </c>
    </row>
    <row r="7" spans="1:9">
      <c r="B7" s="435"/>
    </row>
    <row r="8" spans="1:9" s="234" customFormat="1" ht="15.75">
      <c r="A8" s="1066" t="s">
        <v>2</v>
      </c>
      <c r="B8" s="1067" t="s">
        <v>3</v>
      </c>
      <c r="C8" s="1067" t="s">
        <v>689</v>
      </c>
      <c r="D8" s="1068" t="s">
        <v>690</v>
      </c>
      <c r="E8" s="1067" t="s">
        <v>691</v>
      </c>
      <c r="F8" s="1067"/>
      <c r="G8" s="1067"/>
    </row>
    <row r="9" spans="1:9" s="234" customFormat="1" ht="31.5">
      <c r="A9" s="1066"/>
      <c r="B9" s="1067"/>
      <c r="C9" s="1067"/>
      <c r="D9" s="1069"/>
      <c r="E9" s="436" t="s">
        <v>692</v>
      </c>
      <c r="F9" s="436" t="s">
        <v>693</v>
      </c>
      <c r="G9" s="436" t="s">
        <v>16</v>
      </c>
    </row>
    <row r="10" spans="1:9" s="234" customFormat="1" ht="15">
      <c r="A10" s="31">
        <v>1</v>
      </c>
      <c r="B10" s="437">
        <v>2</v>
      </c>
      <c r="C10" s="437">
        <v>3</v>
      </c>
      <c r="D10" s="437">
        <v>4</v>
      </c>
      <c r="E10" s="438">
        <v>5</v>
      </c>
      <c r="F10" s="438">
        <v>6</v>
      </c>
      <c r="G10" s="438">
        <v>7</v>
      </c>
    </row>
    <row r="11" spans="1:9" s="234" customFormat="1" ht="15">
      <c r="A11" s="204">
        <v>1</v>
      </c>
      <c r="B11" s="204" t="s">
        <v>624</v>
      </c>
      <c r="C11" s="1056" t="s">
        <v>629</v>
      </c>
      <c r="D11" s="1057"/>
      <c r="E11" s="1057"/>
      <c r="F11" s="1057"/>
      <c r="G11" s="1058"/>
    </row>
    <row r="12" spans="1:9" s="234" customFormat="1" ht="15">
      <c r="A12" s="204">
        <f>A11+1</f>
        <v>2</v>
      </c>
      <c r="B12" s="204" t="s">
        <v>589</v>
      </c>
      <c r="C12" s="1059"/>
      <c r="D12" s="1060"/>
      <c r="E12" s="1060"/>
      <c r="F12" s="1060"/>
      <c r="G12" s="1061"/>
    </row>
    <row r="13" spans="1:9" s="234" customFormat="1" ht="15">
      <c r="A13" s="204">
        <f t="shared" ref="A13:A43" si="0">A12+1</f>
        <v>3</v>
      </c>
      <c r="B13" s="204" t="s">
        <v>625</v>
      </c>
      <c r="C13" s="1059"/>
      <c r="D13" s="1060"/>
      <c r="E13" s="1060"/>
      <c r="F13" s="1060"/>
      <c r="G13" s="1061"/>
    </row>
    <row r="14" spans="1:9" s="234" customFormat="1" ht="15">
      <c r="A14" s="204">
        <f t="shared" si="0"/>
        <v>4</v>
      </c>
      <c r="B14" s="204" t="s">
        <v>590</v>
      </c>
      <c r="C14" s="1059"/>
      <c r="D14" s="1060"/>
      <c r="E14" s="1060"/>
      <c r="F14" s="1060"/>
      <c r="G14" s="1061"/>
    </row>
    <row r="15" spans="1:9" s="234" customFormat="1" ht="15">
      <c r="A15" s="204">
        <f t="shared" si="0"/>
        <v>5</v>
      </c>
      <c r="B15" s="204" t="s">
        <v>591</v>
      </c>
      <c r="C15" s="1059"/>
      <c r="D15" s="1060"/>
      <c r="E15" s="1060"/>
      <c r="F15" s="1060"/>
      <c r="G15" s="1061"/>
    </row>
    <row r="16" spans="1:9" s="234" customFormat="1" ht="15">
      <c r="A16" s="204">
        <f t="shared" si="0"/>
        <v>6</v>
      </c>
      <c r="B16" s="204" t="s">
        <v>592</v>
      </c>
      <c r="C16" s="1059"/>
      <c r="D16" s="1060"/>
      <c r="E16" s="1060"/>
      <c r="F16" s="1060"/>
      <c r="G16" s="1061"/>
    </row>
    <row r="17" spans="1:33" s="234" customFormat="1" ht="15">
      <c r="A17" s="204">
        <f t="shared" si="0"/>
        <v>7</v>
      </c>
      <c r="B17" s="204" t="s">
        <v>593</v>
      </c>
      <c r="C17" s="1059"/>
      <c r="D17" s="1060"/>
      <c r="E17" s="1060"/>
      <c r="F17" s="1060"/>
      <c r="G17" s="1061"/>
    </row>
    <row r="18" spans="1:33">
      <c r="A18" s="204">
        <f t="shared" si="0"/>
        <v>8</v>
      </c>
      <c r="B18" s="204" t="s">
        <v>594</v>
      </c>
      <c r="C18" s="1059"/>
      <c r="D18" s="1060"/>
      <c r="E18" s="1060"/>
      <c r="F18" s="1060"/>
      <c r="G18" s="1061"/>
    </row>
    <row r="19" spans="1:33">
      <c r="A19" s="204">
        <f t="shared" si="0"/>
        <v>9</v>
      </c>
      <c r="B19" s="204" t="s">
        <v>595</v>
      </c>
      <c r="C19" s="1059"/>
      <c r="D19" s="1060"/>
      <c r="E19" s="1060"/>
      <c r="F19" s="1060"/>
      <c r="G19" s="1061"/>
    </row>
    <row r="20" spans="1:33">
      <c r="A20" s="204">
        <f t="shared" si="0"/>
        <v>10</v>
      </c>
      <c r="B20" s="204" t="s">
        <v>596</v>
      </c>
      <c r="C20" s="1059"/>
      <c r="D20" s="1060"/>
      <c r="E20" s="1060"/>
      <c r="F20" s="1060"/>
      <c r="G20" s="1061"/>
    </row>
    <row r="21" spans="1:33">
      <c r="A21" s="204">
        <f t="shared" si="0"/>
        <v>11</v>
      </c>
      <c r="B21" s="204" t="s">
        <v>626</v>
      </c>
      <c r="C21" s="1059"/>
      <c r="D21" s="1060"/>
      <c r="E21" s="1060"/>
      <c r="F21" s="1060"/>
      <c r="G21" s="1061"/>
    </row>
    <row r="22" spans="1:33" s="236" customFormat="1">
      <c r="A22" s="204">
        <f t="shared" si="0"/>
        <v>12</v>
      </c>
      <c r="B22" s="204" t="s">
        <v>597</v>
      </c>
      <c r="C22" s="1059"/>
      <c r="D22" s="1060"/>
      <c r="E22" s="1060"/>
      <c r="F22" s="1060"/>
      <c r="G22" s="1061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</row>
    <row r="23" spans="1:33">
      <c r="A23" s="204">
        <f t="shared" si="0"/>
        <v>13</v>
      </c>
      <c r="B23" s="204" t="s">
        <v>598</v>
      </c>
      <c r="C23" s="1059"/>
      <c r="D23" s="1060"/>
      <c r="E23" s="1060"/>
      <c r="F23" s="1060"/>
      <c r="G23" s="1061"/>
    </row>
    <row r="24" spans="1:33">
      <c r="A24" s="204">
        <f t="shared" si="0"/>
        <v>14</v>
      </c>
      <c r="B24" s="204" t="s">
        <v>627</v>
      </c>
      <c r="C24" s="1059"/>
      <c r="D24" s="1060"/>
      <c r="E24" s="1060"/>
      <c r="F24" s="1060"/>
      <c r="G24" s="1061"/>
    </row>
    <row r="25" spans="1:33">
      <c r="A25" s="204">
        <f t="shared" si="0"/>
        <v>15</v>
      </c>
      <c r="B25" s="204" t="s">
        <v>599</v>
      </c>
      <c r="C25" s="1059"/>
      <c r="D25" s="1060"/>
      <c r="E25" s="1060"/>
      <c r="F25" s="1060"/>
      <c r="G25" s="1061"/>
    </row>
    <row r="26" spans="1:33">
      <c r="A26" s="204">
        <f t="shared" si="0"/>
        <v>16</v>
      </c>
      <c r="B26" s="204" t="s">
        <v>600</v>
      </c>
      <c r="C26" s="1059"/>
      <c r="D26" s="1060"/>
      <c r="E26" s="1060"/>
      <c r="F26" s="1060"/>
      <c r="G26" s="1061"/>
    </row>
    <row r="27" spans="1:33">
      <c r="A27" s="204">
        <f t="shared" si="0"/>
        <v>17</v>
      </c>
      <c r="B27" s="453" t="s">
        <v>684</v>
      </c>
      <c r="C27" s="1059"/>
      <c r="D27" s="1060"/>
      <c r="E27" s="1060"/>
      <c r="F27" s="1060"/>
      <c r="G27" s="1061"/>
    </row>
    <row r="28" spans="1:33">
      <c r="A28" s="204">
        <f t="shared" si="0"/>
        <v>18</v>
      </c>
      <c r="B28" s="204" t="s">
        <v>601</v>
      </c>
      <c r="C28" s="1059"/>
      <c r="D28" s="1060"/>
      <c r="E28" s="1060"/>
      <c r="F28" s="1060"/>
      <c r="G28" s="1061"/>
    </row>
    <row r="29" spans="1:33" s="449" customFormat="1" ht="12.75">
      <c r="A29" s="204">
        <f t="shared" si="0"/>
        <v>19</v>
      </c>
      <c r="B29" s="204" t="s">
        <v>602</v>
      </c>
      <c r="C29" s="1059"/>
      <c r="D29" s="1060"/>
      <c r="E29" s="1060"/>
      <c r="F29" s="1060"/>
      <c r="G29" s="1061"/>
    </row>
    <row r="30" spans="1:33" s="449" customFormat="1" ht="12.75">
      <c r="A30" s="204">
        <f t="shared" si="0"/>
        <v>20</v>
      </c>
      <c r="B30" s="453" t="s">
        <v>685</v>
      </c>
      <c r="C30" s="1059"/>
      <c r="D30" s="1060"/>
      <c r="E30" s="1060"/>
      <c r="F30" s="1060"/>
      <c r="G30" s="1061"/>
    </row>
    <row r="31" spans="1:33">
      <c r="A31" s="204">
        <f t="shared" si="0"/>
        <v>21</v>
      </c>
      <c r="B31" s="204" t="s">
        <v>628</v>
      </c>
      <c r="C31" s="1059"/>
      <c r="D31" s="1060"/>
      <c r="E31" s="1060"/>
      <c r="F31" s="1060"/>
      <c r="G31" s="1061"/>
    </row>
    <row r="32" spans="1:33">
      <c r="A32" s="204">
        <f t="shared" si="0"/>
        <v>22</v>
      </c>
      <c r="B32" s="204" t="s">
        <v>603</v>
      </c>
      <c r="C32" s="1059"/>
      <c r="D32" s="1060"/>
      <c r="E32" s="1060"/>
      <c r="F32" s="1060"/>
      <c r="G32" s="1061"/>
      <c r="H32" s="21"/>
      <c r="I32" s="21"/>
      <c r="J32" s="21"/>
    </row>
    <row r="33" spans="1:10">
      <c r="A33" s="204">
        <f t="shared" si="0"/>
        <v>23</v>
      </c>
      <c r="B33" s="204" t="s">
        <v>604</v>
      </c>
      <c r="C33" s="1059"/>
      <c r="D33" s="1060"/>
      <c r="E33" s="1060"/>
      <c r="F33" s="1060"/>
      <c r="G33" s="1061"/>
      <c r="H33" s="21"/>
      <c r="I33" s="21"/>
      <c r="J33" s="21"/>
    </row>
    <row r="34" spans="1:10">
      <c r="A34" s="204">
        <f t="shared" si="0"/>
        <v>24</v>
      </c>
      <c r="B34" s="204" t="s">
        <v>605</v>
      </c>
      <c r="C34" s="1059"/>
      <c r="D34" s="1060"/>
      <c r="E34" s="1060"/>
      <c r="F34" s="1060"/>
      <c r="G34" s="1061"/>
    </row>
    <row r="35" spans="1:10">
      <c r="A35" s="204">
        <f t="shared" si="0"/>
        <v>25</v>
      </c>
      <c r="B35" s="204" t="s">
        <v>606</v>
      </c>
      <c r="C35" s="1059"/>
      <c r="D35" s="1060"/>
      <c r="E35" s="1060"/>
      <c r="F35" s="1060"/>
      <c r="G35" s="1061"/>
    </row>
    <row r="36" spans="1:10">
      <c r="A36" s="204">
        <f t="shared" si="0"/>
        <v>26</v>
      </c>
      <c r="B36" s="204" t="s">
        <v>607</v>
      </c>
      <c r="C36" s="1059"/>
      <c r="D36" s="1060"/>
      <c r="E36" s="1060"/>
      <c r="F36" s="1060"/>
      <c r="G36" s="1061"/>
    </row>
    <row r="37" spans="1:10">
      <c r="A37" s="204">
        <f t="shared" si="0"/>
        <v>27</v>
      </c>
      <c r="B37" s="204" t="s">
        <v>608</v>
      </c>
      <c r="C37" s="1059"/>
      <c r="D37" s="1060"/>
      <c r="E37" s="1060"/>
      <c r="F37" s="1060"/>
      <c r="G37" s="1061"/>
    </row>
    <row r="38" spans="1:10">
      <c r="A38" s="204">
        <f t="shared" si="0"/>
        <v>28</v>
      </c>
      <c r="B38" s="204" t="s">
        <v>609</v>
      </c>
      <c r="C38" s="1059"/>
      <c r="D38" s="1060"/>
      <c r="E38" s="1060"/>
      <c r="F38" s="1060"/>
      <c r="G38" s="1061"/>
    </row>
    <row r="39" spans="1:10">
      <c r="A39" s="204">
        <f t="shared" si="0"/>
        <v>29</v>
      </c>
      <c r="B39" s="204" t="s">
        <v>610</v>
      </c>
      <c r="C39" s="1059"/>
      <c r="D39" s="1060"/>
      <c r="E39" s="1060"/>
      <c r="F39" s="1060"/>
      <c r="G39" s="1061"/>
    </row>
    <row r="40" spans="1:10">
      <c r="A40" s="204">
        <f t="shared" si="0"/>
        <v>30</v>
      </c>
      <c r="B40" s="443" t="s">
        <v>611</v>
      </c>
      <c r="C40" s="1059"/>
      <c r="D40" s="1060"/>
      <c r="E40" s="1060"/>
      <c r="F40" s="1060"/>
      <c r="G40" s="1061"/>
    </row>
    <row r="41" spans="1:10">
      <c r="A41" s="204">
        <f t="shared" si="0"/>
        <v>31</v>
      </c>
      <c r="B41" s="443" t="s">
        <v>612</v>
      </c>
      <c r="C41" s="1059"/>
      <c r="D41" s="1060"/>
      <c r="E41" s="1060"/>
      <c r="F41" s="1060"/>
      <c r="G41" s="1061"/>
    </row>
    <row r="42" spans="1:10">
      <c r="A42" s="204">
        <f t="shared" si="0"/>
        <v>32</v>
      </c>
      <c r="B42" s="443" t="s">
        <v>613</v>
      </c>
      <c r="C42" s="1059"/>
      <c r="D42" s="1060"/>
      <c r="E42" s="1060"/>
      <c r="F42" s="1060"/>
      <c r="G42" s="1061"/>
    </row>
    <row r="43" spans="1:10">
      <c r="A43" s="204">
        <f t="shared" si="0"/>
        <v>33</v>
      </c>
      <c r="B43" s="443" t="s">
        <v>614</v>
      </c>
      <c r="C43" s="1059"/>
      <c r="D43" s="1060"/>
      <c r="E43" s="1060"/>
      <c r="F43" s="1060"/>
      <c r="G43" s="1061"/>
    </row>
    <row r="44" spans="1:10">
      <c r="A44" s="444"/>
      <c r="B44" s="444" t="s">
        <v>615</v>
      </c>
      <c r="C44" s="1062"/>
      <c r="D44" s="1063"/>
      <c r="E44" s="1063"/>
      <c r="F44" s="1063"/>
      <c r="G44" s="1064"/>
    </row>
    <row r="48" spans="1:10" ht="15">
      <c r="D48" s="1065" t="s">
        <v>908</v>
      </c>
      <c r="E48" s="1065"/>
      <c r="F48" s="1065"/>
      <c r="G48" s="1065"/>
    </row>
    <row r="49" spans="4:7" ht="15">
      <c r="D49" s="1065" t="s">
        <v>712</v>
      </c>
      <c r="E49" s="1065"/>
      <c r="F49" s="1065"/>
      <c r="G49" s="1065"/>
    </row>
  </sheetData>
  <mergeCells count="11">
    <mergeCell ref="D49:G49"/>
    <mergeCell ref="A8:A9"/>
    <mergeCell ref="B8:B9"/>
    <mergeCell ref="C8:C9"/>
    <mergeCell ref="D8:D9"/>
    <mergeCell ref="E8:G8"/>
    <mergeCell ref="F1:G1"/>
    <mergeCell ref="B2:F2"/>
    <mergeCell ref="B4:H4"/>
    <mergeCell ref="C11:G44"/>
    <mergeCell ref="D48:G48"/>
  </mergeCells>
  <printOptions horizontalCentered="1"/>
  <pageMargins left="0.7" right="0.7" top="0.36" bottom="0.39" header="0.3" footer="0.3"/>
  <pageSetup paperSize="9" scale="7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V49"/>
  <sheetViews>
    <sheetView view="pageBreakPreview" zoomScale="70" zoomScaleNormal="70" zoomScaleSheetLayoutView="70" workbookViewId="0">
      <selection activeCell="M6" sqref="M6"/>
    </sheetView>
  </sheetViews>
  <sheetFormatPr defaultColWidth="9.140625" defaultRowHeight="14.25"/>
  <cols>
    <col min="1" max="1" width="9.140625" style="229"/>
    <col min="2" max="2" width="18.42578125" style="229" customWidth="1"/>
    <col min="3" max="3" width="7.140625" style="229" customWidth="1"/>
    <col min="4" max="4" width="6.85546875" style="229" customWidth="1"/>
    <col min="5" max="5" width="7.42578125" style="229" customWidth="1"/>
    <col min="6" max="6" width="9.140625" style="229" customWidth="1"/>
    <col min="7" max="7" width="7.42578125" style="229" customWidth="1"/>
    <col min="8" max="9" width="7" style="229" customWidth="1"/>
    <col min="10" max="10" width="7.140625" style="229" customWidth="1"/>
    <col min="11" max="11" width="6.85546875" style="229" customWidth="1"/>
    <col min="12" max="12" width="9.7109375" style="229" customWidth="1"/>
    <col min="13" max="14" width="6.85546875" style="229" customWidth="1"/>
    <col min="15" max="15" width="7" style="229" customWidth="1"/>
    <col min="16" max="16" width="7.28515625" style="229" customWidth="1"/>
    <col min="17" max="19" width="7.42578125" style="229" customWidth="1"/>
    <col min="20" max="20" width="7.85546875" style="229" customWidth="1"/>
    <col min="21" max="21" width="9.7109375" style="229" customWidth="1"/>
    <col min="22" max="22" width="12.85546875" style="229" customWidth="1"/>
    <col min="23" max="23" width="9" style="229" bestFit="1" customWidth="1"/>
    <col min="24" max="24" width="10.7109375" style="229" bestFit="1" customWidth="1"/>
    <col min="25" max="25" width="10.5703125" style="229" bestFit="1" customWidth="1"/>
    <col min="26" max="26" width="7" style="229" bestFit="1" customWidth="1"/>
    <col min="27" max="27" width="6.5703125" style="229" bestFit="1" customWidth="1"/>
    <col min="28" max="28" width="10.5703125" style="229" customWidth="1"/>
    <col min="29" max="29" width="11.140625" style="229" customWidth="1"/>
    <col min="30" max="30" width="10.7109375" style="229" bestFit="1" customWidth="1"/>
    <col min="31" max="31" width="10.5703125" style="229" bestFit="1" customWidth="1"/>
    <col min="32" max="32" width="8.7109375" style="229" customWidth="1"/>
    <col min="33" max="16384" width="9.140625" style="229"/>
  </cols>
  <sheetData>
    <row r="1" spans="1:24" s="449" customFormat="1" ht="15.75">
      <c r="C1" s="27"/>
      <c r="D1" s="27"/>
      <c r="E1" s="27"/>
      <c r="F1" s="27"/>
      <c r="G1" s="27"/>
      <c r="H1" s="27"/>
      <c r="I1" s="49" t="s">
        <v>0</v>
      </c>
      <c r="J1" s="49"/>
      <c r="S1" s="450"/>
      <c r="T1" s="450"/>
      <c r="U1" s="794" t="s">
        <v>534</v>
      </c>
      <c r="V1" s="794"/>
      <c r="W1" s="25"/>
      <c r="X1" s="25"/>
    </row>
    <row r="2" spans="1:24" s="449" customFormat="1" ht="20.25">
      <c r="E2" s="703" t="s">
        <v>737</v>
      </c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24" s="449" customFormat="1" ht="20.25">
      <c r="H3" s="26"/>
      <c r="I3" s="26"/>
      <c r="J3" s="26"/>
      <c r="K3" s="26"/>
      <c r="L3" s="26"/>
      <c r="M3" s="26"/>
      <c r="N3" s="26"/>
      <c r="O3" s="26"/>
      <c r="P3" s="26"/>
    </row>
    <row r="4" spans="1:24" ht="15.75">
      <c r="C4" s="440" t="s">
        <v>831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655"/>
      <c r="S4" s="440"/>
      <c r="T4" s="440"/>
      <c r="U4" s="440"/>
      <c r="V4" s="440"/>
      <c r="W4" s="49"/>
    </row>
    <row r="5" spans="1:24">
      <c r="C5" s="230"/>
      <c r="D5" s="230"/>
      <c r="E5" s="230"/>
      <c r="F5" s="230"/>
      <c r="G5" s="230"/>
      <c r="H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4" ht="15">
      <c r="A6" s="232" t="s">
        <v>695</v>
      </c>
      <c r="B6" s="238"/>
    </row>
    <row r="7" spans="1:24">
      <c r="B7" s="435"/>
    </row>
    <row r="8" spans="1:24" s="232" customFormat="1" ht="15" customHeight="1">
      <c r="A8" s="668" t="s">
        <v>2</v>
      </c>
      <c r="B8" s="1043" t="s">
        <v>3</v>
      </c>
      <c r="C8" s="1040" t="s">
        <v>696</v>
      </c>
      <c r="D8" s="1041"/>
      <c r="E8" s="1041"/>
      <c r="F8" s="1041"/>
      <c r="G8" s="1040" t="s">
        <v>697</v>
      </c>
      <c r="H8" s="1041"/>
      <c r="I8" s="1041"/>
      <c r="J8" s="1041"/>
      <c r="K8" s="1040" t="s">
        <v>698</v>
      </c>
      <c r="L8" s="1041"/>
      <c r="M8" s="1041"/>
      <c r="N8" s="1041"/>
      <c r="O8" s="1040" t="s">
        <v>699</v>
      </c>
      <c r="P8" s="1041"/>
      <c r="Q8" s="1041"/>
      <c r="R8" s="1041"/>
      <c r="S8" s="1070" t="s">
        <v>16</v>
      </c>
      <c r="T8" s="1071"/>
      <c r="U8" s="1071"/>
      <c r="V8" s="1071"/>
    </row>
    <row r="9" spans="1:24" s="234" customFormat="1" ht="15">
      <c r="A9" s="668"/>
      <c r="B9" s="1043"/>
      <c r="C9" s="1073" t="s">
        <v>700</v>
      </c>
      <c r="D9" s="1070" t="s">
        <v>701</v>
      </c>
      <c r="E9" s="1071"/>
      <c r="F9" s="1072"/>
      <c r="G9" s="1073" t="s">
        <v>700</v>
      </c>
      <c r="H9" s="1070" t="s">
        <v>701</v>
      </c>
      <c r="I9" s="1071"/>
      <c r="J9" s="1072"/>
      <c r="K9" s="1073" t="s">
        <v>700</v>
      </c>
      <c r="L9" s="1070" t="s">
        <v>701</v>
      </c>
      <c r="M9" s="1071"/>
      <c r="N9" s="1072"/>
      <c r="O9" s="1073" t="s">
        <v>700</v>
      </c>
      <c r="P9" s="1070" t="s">
        <v>701</v>
      </c>
      <c r="Q9" s="1071"/>
      <c r="R9" s="1072"/>
      <c r="S9" s="1073" t="s">
        <v>700</v>
      </c>
      <c r="T9" s="1070" t="s">
        <v>701</v>
      </c>
      <c r="U9" s="1071"/>
      <c r="V9" s="1072"/>
    </row>
    <row r="10" spans="1:24" s="234" customFormat="1" ht="45">
      <c r="A10" s="668"/>
      <c r="B10" s="1043"/>
      <c r="C10" s="1074"/>
      <c r="D10" s="456" t="s">
        <v>702</v>
      </c>
      <c r="E10" s="456" t="s">
        <v>200</v>
      </c>
      <c r="F10" s="456" t="s">
        <v>16</v>
      </c>
      <c r="G10" s="1074"/>
      <c r="H10" s="456" t="s">
        <v>702</v>
      </c>
      <c r="I10" s="456" t="s">
        <v>200</v>
      </c>
      <c r="J10" s="456" t="s">
        <v>16</v>
      </c>
      <c r="K10" s="1074"/>
      <c r="L10" s="456" t="s">
        <v>702</v>
      </c>
      <c r="M10" s="456" t="s">
        <v>200</v>
      </c>
      <c r="N10" s="456" t="s">
        <v>16</v>
      </c>
      <c r="O10" s="1074"/>
      <c r="P10" s="456" t="s">
        <v>702</v>
      </c>
      <c r="Q10" s="456" t="s">
        <v>200</v>
      </c>
      <c r="R10" s="456" t="s">
        <v>16</v>
      </c>
      <c r="S10" s="1074"/>
      <c r="T10" s="456" t="s">
        <v>702</v>
      </c>
      <c r="U10" s="456" t="s">
        <v>200</v>
      </c>
      <c r="V10" s="456" t="s">
        <v>16</v>
      </c>
    </row>
    <row r="11" spans="1:24" s="242" customFormat="1">
      <c r="A11" s="214">
        <v>1</v>
      </c>
      <c r="B11" s="71">
        <v>2</v>
      </c>
      <c r="C11" s="71">
        <v>3</v>
      </c>
      <c r="D11" s="214">
        <v>4</v>
      </c>
      <c r="E11" s="71">
        <v>5</v>
      </c>
      <c r="F11" s="71">
        <v>6</v>
      </c>
      <c r="G11" s="214">
        <v>7</v>
      </c>
      <c r="H11" s="71">
        <v>8</v>
      </c>
      <c r="I11" s="71">
        <v>9</v>
      </c>
      <c r="J11" s="214">
        <v>10</v>
      </c>
      <c r="K11" s="71">
        <v>11</v>
      </c>
      <c r="L11" s="71">
        <v>12</v>
      </c>
      <c r="M11" s="214">
        <v>13</v>
      </c>
      <c r="N11" s="71">
        <v>14</v>
      </c>
      <c r="O11" s="71">
        <v>15</v>
      </c>
      <c r="P11" s="214">
        <v>16</v>
      </c>
      <c r="Q11" s="71">
        <v>17</v>
      </c>
      <c r="R11" s="71">
        <v>18</v>
      </c>
      <c r="S11" s="214">
        <v>19</v>
      </c>
      <c r="T11" s="71">
        <v>20</v>
      </c>
      <c r="U11" s="71">
        <v>21</v>
      </c>
      <c r="V11" s="214">
        <v>22</v>
      </c>
    </row>
    <row r="12" spans="1:24">
      <c r="A12" s="204">
        <v>1</v>
      </c>
      <c r="B12" s="204" t="s">
        <v>624</v>
      </c>
      <c r="C12" s="1075" t="s">
        <v>629</v>
      </c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  <c r="N12" s="1076"/>
      <c r="O12" s="1076"/>
      <c r="P12" s="1076"/>
      <c r="Q12" s="1076"/>
      <c r="R12" s="1076"/>
      <c r="S12" s="1076"/>
      <c r="T12" s="1076"/>
      <c r="U12" s="1076"/>
      <c r="V12" s="1077"/>
    </row>
    <row r="13" spans="1:24">
      <c r="A13" s="204">
        <f>A12+1</f>
        <v>2</v>
      </c>
      <c r="B13" s="204" t="s">
        <v>589</v>
      </c>
      <c r="C13" s="1078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80"/>
    </row>
    <row r="14" spans="1:24">
      <c r="A14" s="204">
        <f t="shared" ref="A14:A44" si="0">A13+1</f>
        <v>3</v>
      </c>
      <c r="B14" s="204" t="s">
        <v>625</v>
      </c>
      <c r="C14" s="1078"/>
      <c r="D14" s="1079"/>
      <c r="E14" s="1079"/>
      <c r="F14" s="1079"/>
      <c r="G14" s="1079"/>
      <c r="H14" s="1079"/>
      <c r="I14" s="1079"/>
      <c r="J14" s="1079"/>
      <c r="K14" s="1079"/>
      <c r="L14" s="1079"/>
      <c r="M14" s="1079"/>
      <c r="N14" s="1079"/>
      <c r="O14" s="1079"/>
      <c r="P14" s="1079"/>
      <c r="Q14" s="1079"/>
      <c r="R14" s="1079"/>
      <c r="S14" s="1079"/>
      <c r="T14" s="1079"/>
      <c r="U14" s="1079"/>
      <c r="V14" s="1080"/>
    </row>
    <row r="15" spans="1:24">
      <c r="A15" s="204">
        <f t="shared" si="0"/>
        <v>4</v>
      </c>
      <c r="B15" s="204" t="s">
        <v>590</v>
      </c>
      <c r="C15" s="1078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1079"/>
      <c r="V15" s="1080"/>
    </row>
    <row r="16" spans="1:24">
      <c r="A16" s="204">
        <f t="shared" si="0"/>
        <v>5</v>
      </c>
      <c r="B16" s="204" t="s">
        <v>591</v>
      </c>
      <c r="C16" s="1078"/>
      <c r="D16" s="1079"/>
      <c r="E16" s="1079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1079"/>
      <c r="U16" s="1079"/>
      <c r="V16" s="1080"/>
    </row>
    <row r="17" spans="1:48">
      <c r="A17" s="204">
        <f t="shared" si="0"/>
        <v>6</v>
      </c>
      <c r="B17" s="204" t="s">
        <v>592</v>
      </c>
      <c r="C17" s="1078"/>
      <c r="D17" s="1079"/>
      <c r="E17" s="1079"/>
      <c r="F17" s="1079"/>
      <c r="G17" s="1079"/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79"/>
      <c r="T17" s="1079"/>
      <c r="U17" s="1079"/>
      <c r="V17" s="1080"/>
    </row>
    <row r="18" spans="1:48">
      <c r="A18" s="204">
        <f t="shared" si="0"/>
        <v>7</v>
      </c>
      <c r="B18" s="204" t="s">
        <v>593</v>
      </c>
      <c r="C18" s="1078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80"/>
    </row>
    <row r="19" spans="1:48">
      <c r="A19" s="204">
        <f t="shared" si="0"/>
        <v>8</v>
      </c>
      <c r="B19" s="204" t="s">
        <v>594</v>
      </c>
      <c r="C19" s="1078"/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79"/>
      <c r="T19" s="1079"/>
      <c r="U19" s="1079"/>
      <c r="V19" s="1080"/>
    </row>
    <row r="20" spans="1:48">
      <c r="A20" s="204">
        <f t="shared" si="0"/>
        <v>9</v>
      </c>
      <c r="B20" s="204" t="s">
        <v>595</v>
      </c>
      <c r="C20" s="1078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  <c r="T20" s="1079"/>
      <c r="U20" s="1079"/>
      <c r="V20" s="1080"/>
    </row>
    <row r="21" spans="1:48">
      <c r="A21" s="204">
        <f t="shared" si="0"/>
        <v>10</v>
      </c>
      <c r="B21" s="204" t="s">
        <v>596</v>
      </c>
      <c r="C21" s="1078"/>
      <c r="D21" s="1079"/>
      <c r="E21" s="1079"/>
      <c r="F21" s="1079"/>
      <c r="G21" s="1079"/>
      <c r="H21" s="1079"/>
      <c r="I21" s="1079"/>
      <c r="J21" s="1079"/>
      <c r="K21" s="1079"/>
      <c r="L21" s="1079"/>
      <c r="M21" s="1079"/>
      <c r="N21" s="1079"/>
      <c r="O21" s="1079"/>
      <c r="P21" s="1079"/>
      <c r="Q21" s="1079"/>
      <c r="R21" s="1079"/>
      <c r="S21" s="1079"/>
      <c r="T21" s="1079"/>
      <c r="U21" s="1079"/>
      <c r="V21" s="1080"/>
    </row>
    <row r="22" spans="1:48">
      <c r="A22" s="204">
        <f t="shared" si="0"/>
        <v>11</v>
      </c>
      <c r="B22" s="204" t="s">
        <v>626</v>
      </c>
      <c r="C22" s="1078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80"/>
    </row>
    <row r="23" spans="1:48">
      <c r="A23" s="204">
        <f t="shared" si="0"/>
        <v>12</v>
      </c>
      <c r="B23" s="204" t="s">
        <v>597</v>
      </c>
      <c r="C23" s="1078"/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79"/>
      <c r="T23" s="1079"/>
      <c r="U23" s="1079"/>
      <c r="V23" s="1080"/>
    </row>
    <row r="24" spans="1:48">
      <c r="A24" s="204">
        <f t="shared" si="0"/>
        <v>13</v>
      </c>
      <c r="B24" s="204" t="s">
        <v>598</v>
      </c>
      <c r="C24" s="1078"/>
      <c r="D24" s="1079"/>
      <c r="E24" s="1079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79"/>
      <c r="T24" s="1079"/>
      <c r="U24" s="1079"/>
      <c r="V24" s="1080"/>
    </row>
    <row r="25" spans="1:48">
      <c r="A25" s="204">
        <f t="shared" si="0"/>
        <v>14</v>
      </c>
      <c r="B25" s="204" t="s">
        <v>627</v>
      </c>
      <c r="C25" s="1078"/>
      <c r="D25" s="1079"/>
      <c r="E25" s="1079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79"/>
      <c r="R25" s="1079"/>
      <c r="S25" s="1079"/>
      <c r="T25" s="1079"/>
      <c r="U25" s="1079"/>
      <c r="V25" s="1080"/>
    </row>
    <row r="26" spans="1:48" s="236" customFormat="1">
      <c r="A26" s="204">
        <f t="shared" si="0"/>
        <v>15</v>
      </c>
      <c r="B26" s="204" t="s">
        <v>599</v>
      </c>
      <c r="C26" s="1078"/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1079"/>
      <c r="U26" s="1079"/>
      <c r="V26" s="1080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</row>
    <row r="27" spans="1:48">
      <c r="A27" s="204">
        <f t="shared" si="0"/>
        <v>16</v>
      </c>
      <c r="B27" s="204" t="s">
        <v>600</v>
      </c>
      <c r="C27" s="1078"/>
      <c r="D27" s="1079"/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80"/>
    </row>
    <row r="28" spans="1:48">
      <c r="A28" s="204">
        <f t="shared" si="0"/>
        <v>17</v>
      </c>
      <c r="B28" s="453" t="s">
        <v>684</v>
      </c>
      <c r="C28" s="1078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79"/>
      <c r="T28" s="1079"/>
      <c r="U28" s="1079"/>
      <c r="V28" s="1080"/>
    </row>
    <row r="29" spans="1:48">
      <c r="A29" s="204">
        <f t="shared" si="0"/>
        <v>18</v>
      </c>
      <c r="B29" s="204" t="s">
        <v>601</v>
      </c>
      <c r="C29" s="1078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79"/>
      <c r="T29" s="1079"/>
      <c r="U29" s="1079"/>
      <c r="V29" s="1080"/>
    </row>
    <row r="30" spans="1:48" s="449" customFormat="1" ht="14.25" customHeight="1">
      <c r="A30" s="204">
        <f t="shared" si="0"/>
        <v>19</v>
      </c>
      <c r="B30" s="204" t="s">
        <v>602</v>
      </c>
      <c r="C30" s="1078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1079"/>
      <c r="U30" s="1079"/>
      <c r="V30" s="1080"/>
    </row>
    <row r="31" spans="1:48" s="449" customFormat="1" ht="14.25" customHeight="1">
      <c r="A31" s="204">
        <f t="shared" si="0"/>
        <v>20</v>
      </c>
      <c r="B31" s="453" t="s">
        <v>685</v>
      </c>
      <c r="C31" s="1078"/>
      <c r="D31" s="1079"/>
      <c r="E31" s="1079"/>
      <c r="F31" s="1079"/>
      <c r="G31" s="1079"/>
      <c r="H31" s="1079"/>
      <c r="I31" s="1079"/>
      <c r="J31" s="1079"/>
      <c r="K31" s="1079"/>
      <c r="L31" s="1079"/>
      <c r="M31" s="1079"/>
      <c r="N31" s="1079"/>
      <c r="O31" s="1079"/>
      <c r="P31" s="1079"/>
      <c r="Q31" s="1079"/>
      <c r="R31" s="1079"/>
      <c r="S31" s="1079"/>
      <c r="T31" s="1079"/>
      <c r="U31" s="1079"/>
      <c r="V31" s="1080"/>
    </row>
    <row r="32" spans="1:48" s="449" customFormat="1" ht="14.25" customHeight="1">
      <c r="A32" s="204">
        <f t="shared" si="0"/>
        <v>21</v>
      </c>
      <c r="B32" s="204" t="s">
        <v>628</v>
      </c>
      <c r="C32" s="1078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80"/>
    </row>
    <row r="33" spans="1:22" s="449" customFormat="1" ht="14.25" customHeight="1">
      <c r="A33" s="204">
        <f t="shared" si="0"/>
        <v>22</v>
      </c>
      <c r="B33" s="204" t="s">
        <v>603</v>
      </c>
      <c r="C33" s="1078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1079"/>
      <c r="U33" s="1079"/>
      <c r="V33" s="1080"/>
    </row>
    <row r="34" spans="1:22">
      <c r="A34" s="204">
        <f t="shared" si="0"/>
        <v>23</v>
      </c>
      <c r="B34" s="204" t="s">
        <v>604</v>
      </c>
      <c r="C34" s="1078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79"/>
      <c r="T34" s="1079"/>
      <c r="U34" s="1079"/>
      <c r="V34" s="1080"/>
    </row>
    <row r="35" spans="1:22">
      <c r="A35" s="204">
        <f t="shared" si="0"/>
        <v>24</v>
      </c>
      <c r="B35" s="204" t="s">
        <v>605</v>
      </c>
      <c r="C35" s="1078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80"/>
    </row>
    <row r="36" spans="1:22">
      <c r="A36" s="204">
        <f t="shared" si="0"/>
        <v>25</v>
      </c>
      <c r="B36" s="204" t="s">
        <v>606</v>
      </c>
      <c r="C36" s="1078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80"/>
    </row>
    <row r="37" spans="1:22">
      <c r="A37" s="204">
        <f t="shared" si="0"/>
        <v>26</v>
      </c>
      <c r="B37" s="204" t="s">
        <v>607</v>
      </c>
      <c r="C37" s="1078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9"/>
      <c r="T37" s="1079"/>
      <c r="U37" s="1079"/>
      <c r="V37" s="1080"/>
    </row>
    <row r="38" spans="1:22">
      <c r="A38" s="204">
        <f t="shared" si="0"/>
        <v>27</v>
      </c>
      <c r="B38" s="204" t="s">
        <v>608</v>
      </c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80"/>
    </row>
    <row r="39" spans="1:22">
      <c r="A39" s="204">
        <f t="shared" si="0"/>
        <v>28</v>
      </c>
      <c r="B39" s="204" t="s">
        <v>609</v>
      </c>
      <c r="C39" s="1078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  <c r="U39" s="1079"/>
      <c r="V39" s="1080"/>
    </row>
    <row r="40" spans="1:22">
      <c r="A40" s="204">
        <f t="shared" si="0"/>
        <v>29</v>
      </c>
      <c r="B40" s="204" t="s">
        <v>610</v>
      </c>
      <c r="C40" s="1078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80"/>
    </row>
    <row r="41" spans="1:22">
      <c r="A41" s="204">
        <f t="shared" si="0"/>
        <v>30</v>
      </c>
      <c r="B41" s="443" t="s">
        <v>611</v>
      </c>
      <c r="C41" s="1078"/>
      <c r="D41" s="1079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80"/>
    </row>
    <row r="42" spans="1:22">
      <c r="A42" s="204">
        <f t="shared" si="0"/>
        <v>31</v>
      </c>
      <c r="B42" s="443" t="s">
        <v>612</v>
      </c>
      <c r="C42" s="1078"/>
      <c r="D42" s="1079"/>
      <c r="E42" s="1079"/>
      <c r="F42" s="1079"/>
      <c r="G42" s="1079"/>
      <c r="H42" s="1079"/>
      <c r="I42" s="1079"/>
      <c r="J42" s="1079"/>
      <c r="K42" s="1079"/>
      <c r="L42" s="1079"/>
      <c r="M42" s="1079"/>
      <c r="N42" s="1079"/>
      <c r="O42" s="1079"/>
      <c r="P42" s="1079"/>
      <c r="Q42" s="1079"/>
      <c r="R42" s="1079"/>
      <c r="S42" s="1079"/>
      <c r="T42" s="1079"/>
      <c r="U42" s="1079"/>
      <c r="V42" s="1080"/>
    </row>
    <row r="43" spans="1:22">
      <c r="A43" s="204">
        <f t="shared" si="0"/>
        <v>32</v>
      </c>
      <c r="B43" s="443" t="s">
        <v>613</v>
      </c>
      <c r="C43" s="1078"/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1079"/>
      <c r="T43" s="1079"/>
      <c r="U43" s="1079"/>
      <c r="V43" s="1080"/>
    </row>
    <row r="44" spans="1:22">
      <c r="A44" s="204">
        <f t="shared" si="0"/>
        <v>33</v>
      </c>
      <c r="B44" s="443" t="s">
        <v>614</v>
      </c>
      <c r="C44" s="1078"/>
      <c r="D44" s="1079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80"/>
    </row>
    <row r="45" spans="1:22" ht="15" customHeight="1">
      <c r="A45" s="444"/>
      <c r="B45" s="444" t="s">
        <v>615</v>
      </c>
      <c r="C45" s="1081"/>
      <c r="D45" s="1082"/>
      <c r="E45" s="1082"/>
      <c r="F45" s="1082"/>
      <c r="G45" s="1082"/>
      <c r="H45" s="1082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  <c r="S45" s="1082"/>
      <c r="T45" s="1082"/>
      <c r="U45" s="1082"/>
      <c r="V45" s="1083"/>
    </row>
    <row r="48" spans="1:22" ht="15">
      <c r="R48" s="1065" t="s">
        <v>908</v>
      </c>
      <c r="S48" s="1065"/>
      <c r="T48" s="1065"/>
      <c r="U48" s="1065"/>
      <c r="V48" s="1065"/>
    </row>
    <row r="49" spans="18:22" ht="15">
      <c r="R49" s="1065" t="s">
        <v>712</v>
      </c>
      <c r="S49" s="1065"/>
      <c r="T49" s="1065"/>
      <c r="U49" s="1065"/>
      <c r="V49" s="1065"/>
    </row>
  </sheetData>
  <mergeCells count="22">
    <mergeCell ref="S9:S10"/>
    <mergeCell ref="A8:A10"/>
    <mergeCell ref="B8:B10"/>
    <mergeCell ref="G9:G10"/>
    <mergeCell ref="H9:J9"/>
    <mergeCell ref="K9:K10"/>
    <mergeCell ref="R48:V48"/>
    <mergeCell ref="R49:V49"/>
    <mergeCell ref="T9:V9"/>
    <mergeCell ref="U1:V1"/>
    <mergeCell ref="E2:P2"/>
    <mergeCell ref="C8:F8"/>
    <mergeCell ref="G8:J8"/>
    <mergeCell ref="K8:N8"/>
    <mergeCell ref="O8:R8"/>
    <mergeCell ref="S8:V8"/>
    <mergeCell ref="C9:C10"/>
    <mergeCell ref="D9:F9"/>
    <mergeCell ref="L9:N9"/>
    <mergeCell ref="O9:O10"/>
    <mergeCell ref="P9:R9"/>
    <mergeCell ref="C12:V45"/>
  </mergeCells>
  <phoneticPr fontId="0" type="noConversion"/>
  <printOptions horizontalCentered="1"/>
  <pageMargins left="0.38" right="0.39" top="0.53" bottom="0" header="0.31496062992126" footer="0.31496062992126"/>
  <pageSetup paperSize="9" scale="73" orientation="landscape" r:id="rId1"/>
  <colBreaks count="1" manualBreakCount="1">
    <brk id="22" max="49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60" zoomScaleNormal="70" workbookViewId="0">
      <selection activeCell="C12" sqref="C12:V44"/>
    </sheetView>
  </sheetViews>
  <sheetFormatPr defaultRowHeight="14.25"/>
  <cols>
    <col min="1" max="1" width="9.140625" style="229"/>
    <col min="2" max="2" width="19.28515625" style="229" bestFit="1" customWidth="1"/>
    <col min="3" max="21" width="9.140625" style="229"/>
    <col min="22" max="22" width="10.7109375" style="229" bestFit="1" customWidth="1"/>
    <col min="23" max="16384" width="9.140625" style="229"/>
  </cols>
  <sheetData>
    <row r="1" spans="1:24" s="431" customFormat="1" ht="15.75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94" t="s">
        <v>694</v>
      </c>
      <c r="V1" s="794"/>
      <c r="W1" s="25"/>
      <c r="X1" s="25"/>
    </row>
    <row r="2" spans="1:24" s="431" customFormat="1" ht="20.25">
      <c r="A2" s="703" t="s">
        <v>737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</row>
    <row r="3" spans="1:24" s="431" customFormat="1" ht="20.25">
      <c r="H3" s="26"/>
      <c r="I3" s="26"/>
      <c r="J3" s="26"/>
      <c r="K3" s="26"/>
      <c r="L3" s="26"/>
      <c r="M3" s="26"/>
      <c r="N3" s="26"/>
      <c r="O3" s="26"/>
      <c r="P3" s="26"/>
    </row>
    <row r="4" spans="1:24" ht="15.75">
      <c r="A4" s="704" t="s">
        <v>832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49"/>
    </row>
    <row r="5" spans="1:24">
      <c r="C5" s="230"/>
      <c r="D5" s="230"/>
      <c r="E5" s="230"/>
      <c r="F5" s="230"/>
      <c r="G5" s="230"/>
      <c r="H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4" ht="15">
      <c r="A6" s="232" t="s">
        <v>695</v>
      </c>
      <c r="B6" s="238"/>
    </row>
    <row r="7" spans="1:24">
      <c r="B7" s="435"/>
    </row>
    <row r="8" spans="1:24" s="232" customFormat="1" ht="15">
      <c r="A8" s="668" t="s">
        <v>2</v>
      </c>
      <c r="B8" s="1043" t="s">
        <v>3</v>
      </c>
      <c r="C8" s="1040" t="s">
        <v>696</v>
      </c>
      <c r="D8" s="1041"/>
      <c r="E8" s="1041"/>
      <c r="F8" s="1041"/>
      <c r="G8" s="1040" t="s">
        <v>697</v>
      </c>
      <c r="H8" s="1041"/>
      <c r="I8" s="1041"/>
      <c r="J8" s="1041"/>
      <c r="K8" s="1040" t="s">
        <v>698</v>
      </c>
      <c r="L8" s="1041"/>
      <c r="M8" s="1041"/>
      <c r="N8" s="1041"/>
      <c r="O8" s="1040" t="s">
        <v>699</v>
      </c>
      <c r="P8" s="1041"/>
      <c r="Q8" s="1041"/>
      <c r="R8" s="1041"/>
      <c r="S8" s="1045" t="s">
        <v>16</v>
      </c>
      <c r="T8" s="1045"/>
      <c r="U8" s="1045"/>
      <c r="V8" s="1045"/>
    </row>
    <row r="9" spans="1:24" s="234" customFormat="1" ht="15">
      <c r="A9" s="668"/>
      <c r="B9" s="1043"/>
      <c r="C9" s="1073" t="s">
        <v>700</v>
      </c>
      <c r="D9" s="1070" t="s">
        <v>701</v>
      </c>
      <c r="E9" s="1071"/>
      <c r="F9" s="1072"/>
      <c r="G9" s="1073" t="s">
        <v>700</v>
      </c>
      <c r="H9" s="1070" t="s">
        <v>701</v>
      </c>
      <c r="I9" s="1071"/>
      <c r="J9" s="1072"/>
      <c r="K9" s="1073" t="s">
        <v>700</v>
      </c>
      <c r="L9" s="1070" t="s">
        <v>701</v>
      </c>
      <c r="M9" s="1071"/>
      <c r="N9" s="1072"/>
      <c r="O9" s="1073" t="s">
        <v>700</v>
      </c>
      <c r="P9" s="1070" t="s">
        <v>701</v>
      </c>
      <c r="Q9" s="1071"/>
      <c r="R9" s="1072"/>
      <c r="S9" s="1045" t="s">
        <v>700</v>
      </c>
      <c r="T9" s="1045" t="s">
        <v>701</v>
      </c>
      <c r="U9" s="1045"/>
      <c r="V9" s="1045"/>
    </row>
    <row r="10" spans="1:24" s="234" customFormat="1" ht="30">
      <c r="A10" s="668"/>
      <c r="B10" s="1043"/>
      <c r="C10" s="1074"/>
      <c r="D10" s="432" t="s">
        <v>702</v>
      </c>
      <c r="E10" s="432" t="s">
        <v>200</v>
      </c>
      <c r="F10" s="432" t="s">
        <v>16</v>
      </c>
      <c r="G10" s="1074"/>
      <c r="H10" s="432" t="s">
        <v>702</v>
      </c>
      <c r="I10" s="432" t="s">
        <v>200</v>
      </c>
      <c r="J10" s="432" t="s">
        <v>16</v>
      </c>
      <c r="K10" s="1074"/>
      <c r="L10" s="432" t="s">
        <v>702</v>
      </c>
      <c r="M10" s="432" t="s">
        <v>200</v>
      </c>
      <c r="N10" s="432" t="s">
        <v>16</v>
      </c>
      <c r="O10" s="1074"/>
      <c r="P10" s="432" t="s">
        <v>702</v>
      </c>
      <c r="Q10" s="432" t="s">
        <v>200</v>
      </c>
      <c r="R10" s="432" t="s">
        <v>16</v>
      </c>
      <c r="S10" s="1045"/>
      <c r="T10" s="456" t="s">
        <v>702</v>
      </c>
      <c r="U10" s="456" t="s">
        <v>200</v>
      </c>
      <c r="V10" s="456" t="s">
        <v>16</v>
      </c>
    </row>
    <row r="11" spans="1:24" s="242" customFormat="1">
      <c r="A11" s="214">
        <v>1</v>
      </c>
      <c r="B11" s="71">
        <v>2</v>
      </c>
      <c r="C11" s="71">
        <v>3</v>
      </c>
      <c r="D11" s="214">
        <v>4</v>
      </c>
      <c r="E11" s="71">
        <v>5</v>
      </c>
      <c r="F11" s="71">
        <v>6</v>
      </c>
      <c r="G11" s="214">
        <v>7</v>
      </c>
      <c r="H11" s="71">
        <v>8</v>
      </c>
      <c r="I11" s="71">
        <v>9</v>
      </c>
      <c r="J11" s="214">
        <v>10</v>
      </c>
      <c r="K11" s="71">
        <v>11</v>
      </c>
      <c r="L11" s="71">
        <v>12</v>
      </c>
      <c r="M11" s="214">
        <v>13</v>
      </c>
      <c r="N11" s="71">
        <v>14</v>
      </c>
      <c r="O11" s="71">
        <v>15</v>
      </c>
      <c r="P11" s="214">
        <v>16</v>
      </c>
      <c r="Q11" s="71">
        <v>17</v>
      </c>
      <c r="R11" s="71">
        <v>18</v>
      </c>
      <c r="S11" s="31">
        <v>19</v>
      </c>
      <c r="T11" s="437">
        <v>20</v>
      </c>
      <c r="U11" s="437">
        <v>21</v>
      </c>
      <c r="V11" s="31">
        <v>22</v>
      </c>
    </row>
    <row r="12" spans="1:24">
      <c r="A12" s="204">
        <v>1</v>
      </c>
      <c r="B12" s="204" t="s">
        <v>624</v>
      </c>
      <c r="C12" s="1075" t="s">
        <v>629</v>
      </c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  <c r="N12" s="1076"/>
      <c r="O12" s="1076"/>
      <c r="P12" s="1076"/>
      <c r="Q12" s="1076"/>
      <c r="R12" s="1076"/>
      <c r="S12" s="1076"/>
      <c r="T12" s="1076"/>
      <c r="U12" s="1076"/>
      <c r="V12" s="1077"/>
    </row>
    <row r="13" spans="1:24">
      <c r="A13" s="204">
        <f>A12+1</f>
        <v>2</v>
      </c>
      <c r="B13" s="204" t="s">
        <v>589</v>
      </c>
      <c r="C13" s="1078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80"/>
    </row>
    <row r="14" spans="1:24">
      <c r="A14" s="204">
        <f t="shared" ref="A14:A44" si="0">A13+1</f>
        <v>3</v>
      </c>
      <c r="B14" s="204" t="s">
        <v>625</v>
      </c>
      <c r="C14" s="1078"/>
      <c r="D14" s="1079"/>
      <c r="E14" s="1079"/>
      <c r="F14" s="1079"/>
      <c r="G14" s="1079"/>
      <c r="H14" s="1079"/>
      <c r="I14" s="1079"/>
      <c r="J14" s="1079"/>
      <c r="K14" s="1079"/>
      <c r="L14" s="1079"/>
      <c r="M14" s="1079"/>
      <c r="N14" s="1079"/>
      <c r="O14" s="1079"/>
      <c r="P14" s="1079"/>
      <c r="Q14" s="1079"/>
      <c r="R14" s="1079"/>
      <c r="S14" s="1079"/>
      <c r="T14" s="1079"/>
      <c r="U14" s="1079"/>
      <c r="V14" s="1080"/>
    </row>
    <row r="15" spans="1:24">
      <c r="A15" s="204">
        <f t="shared" si="0"/>
        <v>4</v>
      </c>
      <c r="B15" s="204" t="s">
        <v>590</v>
      </c>
      <c r="C15" s="1078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1079"/>
      <c r="V15" s="1080"/>
    </row>
    <row r="16" spans="1:24">
      <c r="A16" s="204">
        <f t="shared" si="0"/>
        <v>5</v>
      </c>
      <c r="B16" s="204" t="s">
        <v>591</v>
      </c>
      <c r="C16" s="1078"/>
      <c r="D16" s="1079"/>
      <c r="E16" s="1079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1079"/>
      <c r="U16" s="1079"/>
      <c r="V16" s="1080"/>
    </row>
    <row r="17" spans="1:48">
      <c r="A17" s="204">
        <f t="shared" si="0"/>
        <v>6</v>
      </c>
      <c r="B17" s="204" t="s">
        <v>592</v>
      </c>
      <c r="C17" s="1078"/>
      <c r="D17" s="1079"/>
      <c r="E17" s="1079"/>
      <c r="F17" s="1079"/>
      <c r="G17" s="1079"/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79"/>
      <c r="T17" s="1079"/>
      <c r="U17" s="1079"/>
      <c r="V17" s="1080"/>
    </row>
    <row r="18" spans="1:48">
      <c r="A18" s="204">
        <f t="shared" si="0"/>
        <v>7</v>
      </c>
      <c r="B18" s="204" t="s">
        <v>593</v>
      </c>
      <c r="C18" s="1078"/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80"/>
    </row>
    <row r="19" spans="1:48">
      <c r="A19" s="204">
        <f t="shared" si="0"/>
        <v>8</v>
      </c>
      <c r="B19" s="204" t="s">
        <v>594</v>
      </c>
      <c r="C19" s="1078"/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79"/>
      <c r="T19" s="1079"/>
      <c r="U19" s="1079"/>
      <c r="V19" s="1080"/>
    </row>
    <row r="20" spans="1:48">
      <c r="A20" s="204">
        <f t="shared" si="0"/>
        <v>9</v>
      </c>
      <c r="B20" s="204" t="s">
        <v>595</v>
      </c>
      <c r="C20" s="1078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  <c r="T20" s="1079"/>
      <c r="U20" s="1079"/>
      <c r="V20" s="1080"/>
    </row>
    <row r="21" spans="1:48">
      <c r="A21" s="204">
        <f t="shared" si="0"/>
        <v>10</v>
      </c>
      <c r="B21" s="204" t="s">
        <v>596</v>
      </c>
      <c r="C21" s="1078"/>
      <c r="D21" s="1079"/>
      <c r="E21" s="1079"/>
      <c r="F21" s="1079"/>
      <c r="G21" s="1079"/>
      <c r="H21" s="1079"/>
      <c r="I21" s="1079"/>
      <c r="J21" s="1079"/>
      <c r="K21" s="1079"/>
      <c r="L21" s="1079"/>
      <c r="M21" s="1079"/>
      <c r="N21" s="1079"/>
      <c r="O21" s="1079"/>
      <c r="P21" s="1079"/>
      <c r="Q21" s="1079"/>
      <c r="R21" s="1079"/>
      <c r="S21" s="1079"/>
      <c r="T21" s="1079"/>
      <c r="U21" s="1079"/>
      <c r="V21" s="1080"/>
    </row>
    <row r="22" spans="1:48">
      <c r="A22" s="204">
        <f t="shared" si="0"/>
        <v>11</v>
      </c>
      <c r="B22" s="204" t="s">
        <v>626</v>
      </c>
      <c r="C22" s="1078"/>
      <c r="D22" s="1079"/>
      <c r="E22" s="1079"/>
      <c r="F22" s="1079"/>
      <c r="G22" s="1079"/>
      <c r="H22" s="1079"/>
      <c r="I22" s="1079"/>
      <c r="J22" s="1079"/>
      <c r="K22" s="1079"/>
      <c r="L22" s="1079"/>
      <c r="M22" s="1079"/>
      <c r="N22" s="1079"/>
      <c r="O22" s="1079"/>
      <c r="P22" s="1079"/>
      <c r="Q22" s="1079"/>
      <c r="R22" s="1079"/>
      <c r="S22" s="1079"/>
      <c r="T22" s="1079"/>
      <c r="U22" s="1079"/>
      <c r="V22" s="1080"/>
    </row>
    <row r="23" spans="1:48">
      <c r="A23" s="204">
        <f t="shared" si="0"/>
        <v>12</v>
      </c>
      <c r="B23" s="204" t="s">
        <v>597</v>
      </c>
      <c r="C23" s="1078"/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N23" s="1079"/>
      <c r="O23" s="1079"/>
      <c r="P23" s="1079"/>
      <c r="Q23" s="1079"/>
      <c r="R23" s="1079"/>
      <c r="S23" s="1079"/>
      <c r="T23" s="1079"/>
      <c r="U23" s="1079"/>
      <c r="V23" s="1080"/>
    </row>
    <row r="24" spans="1:48">
      <c r="A24" s="204">
        <f t="shared" si="0"/>
        <v>13</v>
      </c>
      <c r="B24" s="204" t="s">
        <v>598</v>
      </c>
      <c r="C24" s="1078"/>
      <c r="D24" s="1079"/>
      <c r="E24" s="1079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79"/>
      <c r="T24" s="1079"/>
      <c r="U24" s="1079"/>
      <c r="V24" s="1080"/>
    </row>
    <row r="25" spans="1:48">
      <c r="A25" s="204">
        <f t="shared" si="0"/>
        <v>14</v>
      </c>
      <c r="B25" s="204" t="s">
        <v>627</v>
      </c>
      <c r="C25" s="1078"/>
      <c r="D25" s="1079"/>
      <c r="E25" s="1079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79"/>
      <c r="R25" s="1079"/>
      <c r="S25" s="1079"/>
      <c r="T25" s="1079"/>
      <c r="U25" s="1079"/>
      <c r="V25" s="1080"/>
    </row>
    <row r="26" spans="1:48" s="236" customFormat="1">
      <c r="A26" s="204">
        <f t="shared" si="0"/>
        <v>15</v>
      </c>
      <c r="B26" s="204" t="s">
        <v>599</v>
      </c>
      <c r="C26" s="1078"/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1079"/>
      <c r="U26" s="1079"/>
      <c r="V26" s="1080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</row>
    <row r="27" spans="1:48">
      <c r="A27" s="204">
        <f t="shared" si="0"/>
        <v>16</v>
      </c>
      <c r="B27" s="204" t="s">
        <v>600</v>
      </c>
      <c r="C27" s="1078"/>
      <c r="D27" s="1079"/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80"/>
    </row>
    <row r="28" spans="1:48">
      <c r="A28" s="204">
        <f t="shared" si="0"/>
        <v>17</v>
      </c>
      <c r="B28" s="505" t="s">
        <v>684</v>
      </c>
      <c r="C28" s="1078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79"/>
      <c r="T28" s="1079"/>
      <c r="U28" s="1079"/>
      <c r="V28" s="1080"/>
    </row>
    <row r="29" spans="1:48">
      <c r="A29" s="204">
        <f t="shared" si="0"/>
        <v>18</v>
      </c>
      <c r="B29" s="204" t="s">
        <v>601</v>
      </c>
      <c r="C29" s="1078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79"/>
      <c r="T29" s="1079"/>
      <c r="U29" s="1079"/>
      <c r="V29" s="1080"/>
    </row>
    <row r="30" spans="1:48" s="504" customFormat="1" ht="14.25" customHeight="1">
      <c r="A30" s="204">
        <f t="shared" si="0"/>
        <v>19</v>
      </c>
      <c r="B30" s="204" t="s">
        <v>602</v>
      </c>
      <c r="C30" s="1078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79"/>
      <c r="P30" s="1079"/>
      <c r="Q30" s="1079"/>
      <c r="R30" s="1079"/>
      <c r="S30" s="1079"/>
      <c r="T30" s="1079"/>
      <c r="U30" s="1079"/>
      <c r="V30" s="1080"/>
    </row>
    <row r="31" spans="1:48" s="504" customFormat="1" ht="14.25" customHeight="1">
      <c r="A31" s="204">
        <f t="shared" si="0"/>
        <v>20</v>
      </c>
      <c r="B31" s="505" t="s">
        <v>685</v>
      </c>
      <c r="C31" s="1078"/>
      <c r="D31" s="1079"/>
      <c r="E31" s="1079"/>
      <c r="F31" s="1079"/>
      <c r="G31" s="1079"/>
      <c r="H31" s="1079"/>
      <c r="I31" s="1079"/>
      <c r="J31" s="1079"/>
      <c r="K31" s="1079"/>
      <c r="L31" s="1079"/>
      <c r="M31" s="1079"/>
      <c r="N31" s="1079"/>
      <c r="O31" s="1079"/>
      <c r="P31" s="1079"/>
      <c r="Q31" s="1079"/>
      <c r="R31" s="1079"/>
      <c r="S31" s="1079"/>
      <c r="T31" s="1079"/>
      <c r="U31" s="1079"/>
      <c r="V31" s="1080"/>
    </row>
    <row r="32" spans="1:48" s="504" customFormat="1" ht="14.25" customHeight="1">
      <c r="A32" s="204">
        <f t="shared" si="0"/>
        <v>21</v>
      </c>
      <c r="B32" s="204" t="s">
        <v>628</v>
      </c>
      <c r="C32" s="1078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80"/>
    </row>
    <row r="33" spans="1:22" s="504" customFormat="1" ht="14.25" customHeight="1">
      <c r="A33" s="204">
        <f t="shared" si="0"/>
        <v>22</v>
      </c>
      <c r="B33" s="204" t="s">
        <v>603</v>
      </c>
      <c r="C33" s="1078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1079"/>
      <c r="U33" s="1079"/>
      <c r="V33" s="1080"/>
    </row>
    <row r="34" spans="1:22">
      <c r="A34" s="204">
        <f t="shared" si="0"/>
        <v>23</v>
      </c>
      <c r="B34" s="204" t="s">
        <v>604</v>
      </c>
      <c r="C34" s="1078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79"/>
      <c r="T34" s="1079"/>
      <c r="U34" s="1079"/>
      <c r="V34" s="1080"/>
    </row>
    <row r="35" spans="1:22">
      <c r="A35" s="204">
        <f t="shared" si="0"/>
        <v>24</v>
      </c>
      <c r="B35" s="204" t="s">
        <v>605</v>
      </c>
      <c r="C35" s="1078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80"/>
    </row>
    <row r="36" spans="1:22">
      <c r="A36" s="204">
        <f t="shared" si="0"/>
        <v>25</v>
      </c>
      <c r="B36" s="204" t="s">
        <v>606</v>
      </c>
      <c r="C36" s="1078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80"/>
    </row>
    <row r="37" spans="1:22">
      <c r="A37" s="204">
        <f t="shared" si="0"/>
        <v>26</v>
      </c>
      <c r="B37" s="204" t="s">
        <v>607</v>
      </c>
      <c r="C37" s="1078"/>
      <c r="D37" s="1079"/>
      <c r="E37" s="1079"/>
      <c r="F37" s="1079"/>
      <c r="G37" s="1079"/>
      <c r="H37" s="1079"/>
      <c r="I37" s="1079"/>
      <c r="J37" s="1079"/>
      <c r="K37" s="1079"/>
      <c r="L37" s="1079"/>
      <c r="M37" s="1079"/>
      <c r="N37" s="1079"/>
      <c r="O37" s="1079"/>
      <c r="P37" s="1079"/>
      <c r="Q37" s="1079"/>
      <c r="R37" s="1079"/>
      <c r="S37" s="1079"/>
      <c r="T37" s="1079"/>
      <c r="U37" s="1079"/>
      <c r="V37" s="1080"/>
    </row>
    <row r="38" spans="1:22">
      <c r="A38" s="204">
        <f t="shared" si="0"/>
        <v>27</v>
      </c>
      <c r="B38" s="204" t="s">
        <v>608</v>
      </c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80"/>
    </row>
    <row r="39" spans="1:22">
      <c r="A39" s="204">
        <f t="shared" si="0"/>
        <v>28</v>
      </c>
      <c r="B39" s="204" t="s">
        <v>609</v>
      </c>
      <c r="C39" s="1078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  <c r="U39" s="1079"/>
      <c r="V39" s="1080"/>
    </row>
    <row r="40" spans="1:22">
      <c r="A40" s="204">
        <f t="shared" si="0"/>
        <v>29</v>
      </c>
      <c r="B40" s="204" t="s">
        <v>610</v>
      </c>
      <c r="C40" s="1078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80"/>
    </row>
    <row r="41" spans="1:22">
      <c r="A41" s="204">
        <f t="shared" si="0"/>
        <v>30</v>
      </c>
      <c r="B41" s="502" t="s">
        <v>611</v>
      </c>
      <c r="C41" s="1078"/>
      <c r="D41" s="1079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80"/>
    </row>
    <row r="42" spans="1:22">
      <c r="A42" s="204">
        <f t="shared" si="0"/>
        <v>31</v>
      </c>
      <c r="B42" s="502" t="s">
        <v>612</v>
      </c>
      <c r="C42" s="1078"/>
      <c r="D42" s="1079"/>
      <c r="E42" s="1079"/>
      <c r="F42" s="1079"/>
      <c r="G42" s="1079"/>
      <c r="H42" s="1079"/>
      <c r="I42" s="1079"/>
      <c r="J42" s="1079"/>
      <c r="K42" s="1079"/>
      <c r="L42" s="1079"/>
      <c r="M42" s="1079"/>
      <c r="N42" s="1079"/>
      <c r="O42" s="1079"/>
      <c r="P42" s="1079"/>
      <c r="Q42" s="1079"/>
      <c r="R42" s="1079"/>
      <c r="S42" s="1079"/>
      <c r="T42" s="1079"/>
      <c r="U42" s="1079"/>
      <c r="V42" s="1080"/>
    </row>
    <row r="43" spans="1:22">
      <c r="A43" s="204">
        <f t="shared" si="0"/>
        <v>32</v>
      </c>
      <c r="B43" s="502" t="s">
        <v>613</v>
      </c>
      <c r="C43" s="1078"/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1079"/>
      <c r="T43" s="1079"/>
      <c r="U43" s="1079"/>
      <c r="V43" s="1080"/>
    </row>
    <row r="44" spans="1:22">
      <c r="A44" s="204">
        <f t="shared" si="0"/>
        <v>33</v>
      </c>
      <c r="B44" s="502" t="s">
        <v>614</v>
      </c>
      <c r="C44" s="1081"/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1082"/>
      <c r="S44" s="1082"/>
      <c r="T44" s="1082"/>
      <c r="U44" s="1082"/>
      <c r="V44" s="1083"/>
    </row>
    <row r="45" spans="1:22" s="296" customFormat="1" ht="15">
      <c r="A45" s="503"/>
      <c r="B45" s="503" t="s">
        <v>615</v>
      </c>
      <c r="C45" s="513"/>
      <c r="D45" s="512"/>
      <c r="E45" s="512"/>
      <c r="F45" s="512"/>
      <c r="G45" s="511"/>
      <c r="H45" s="512"/>
      <c r="I45" s="512"/>
      <c r="J45" s="513"/>
      <c r="K45" s="511"/>
      <c r="L45" s="512"/>
      <c r="M45" s="512"/>
      <c r="N45" s="513"/>
      <c r="O45" s="511"/>
      <c r="P45" s="512"/>
      <c r="Q45" s="512"/>
      <c r="R45" s="513"/>
      <c r="S45" s="513"/>
      <c r="T45" s="512"/>
      <c r="U45" s="512"/>
      <c r="V45" s="512"/>
    </row>
    <row r="51" spans="18:22" ht="15">
      <c r="R51" s="1065" t="s">
        <v>908</v>
      </c>
      <c r="S51" s="1065"/>
      <c r="T51" s="1065"/>
      <c r="U51" s="1065"/>
      <c r="V51" s="1065"/>
    </row>
    <row r="52" spans="18:22" ht="15">
      <c r="R52" s="1065" t="s">
        <v>712</v>
      </c>
      <c r="S52" s="1065"/>
      <c r="T52" s="1065"/>
      <c r="U52" s="1065"/>
      <c r="V52" s="1065"/>
    </row>
  </sheetData>
  <mergeCells count="24">
    <mergeCell ref="C12:V44"/>
    <mergeCell ref="R51:V51"/>
    <mergeCell ref="R52:V52"/>
    <mergeCell ref="C9:C10"/>
    <mergeCell ref="D9:F9"/>
    <mergeCell ref="G9:G10"/>
    <mergeCell ref="H9:J9"/>
    <mergeCell ref="K9:K10"/>
    <mergeCell ref="A2:V2"/>
    <mergeCell ref="A4:V4"/>
    <mergeCell ref="A1:T1"/>
    <mergeCell ref="O9:O10"/>
    <mergeCell ref="P9:R9"/>
    <mergeCell ref="S9:S10"/>
    <mergeCell ref="T9:V9"/>
    <mergeCell ref="L9:N9"/>
    <mergeCell ref="U1:V1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2" right="0.17" top="0.39" bottom="0.38" header="0.3" footer="0.3"/>
  <pageSetup paperSize="9" scale="6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topLeftCell="B4" zoomScale="115" zoomScaleNormal="70" zoomScaleSheetLayoutView="115" workbookViewId="0">
      <selection activeCell="K11" sqref="K11"/>
    </sheetView>
  </sheetViews>
  <sheetFormatPr defaultColWidth="8.85546875" defaultRowHeight="14.25"/>
  <cols>
    <col min="1" max="1" width="8.140625" style="35" customWidth="1"/>
    <col min="2" max="2" width="20.7109375" style="35" customWidth="1"/>
    <col min="3" max="3" width="12.140625" style="35" customWidth="1"/>
    <col min="4" max="4" width="11.7109375" style="35" customWidth="1"/>
    <col min="5" max="5" width="11.28515625" style="35" customWidth="1"/>
    <col min="6" max="6" width="17.140625" style="35" customWidth="1"/>
    <col min="7" max="7" width="15.140625" style="35" customWidth="1"/>
    <col min="8" max="8" width="14.42578125" style="35" customWidth="1"/>
    <col min="9" max="9" width="14.85546875" style="35" customWidth="1"/>
    <col min="10" max="10" width="18.42578125" style="35" customWidth="1"/>
    <col min="11" max="11" width="17.28515625" style="35" customWidth="1"/>
    <col min="12" max="12" width="16.28515625" style="35" customWidth="1"/>
    <col min="13" max="16384" width="8.85546875" style="35"/>
  </cols>
  <sheetData>
    <row r="1" spans="1:15" ht="15">
      <c r="B1" s="173"/>
      <c r="C1" s="173"/>
      <c r="D1" s="173"/>
      <c r="E1" s="173"/>
      <c r="F1" s="159"/>
      <c r="G1" s="159"/>
      <c r="H1" s="173"/>
      <c r="J1" s="180"/>
      <c r="K1" s="862" t="s">
        <v>535</v>
      </c>
      <c r="L1" s="862"/>
    </row>
    <row r="2" spans="1:15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</row>
    <row r="3" spans="1:15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</row>
    <row r="4" spans="1:15" ht="20.25">
      <c r="B4" s="157"/>
      <c r="C4" s="157"/>
      <c r="D4" s="157"/>
      <c r="E4" s="157"/>
      <c r="F4" s="157"/>
      <c r="G4" s="157"/>
      <c r="H4" s="157"/>
      <c r="I4" s="157"/>
      <c r="J4" s="157"/>
    </row>
    <row r="5" spans="1:15" ht="15.75">
      <c r="A5" s="1098" t="s">
        <v>827</v>
      </c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</row>
    <row r="6" spans="1:15">
      <c r="A6" s="699" t="s">
        <v>658</v>
      </c>
      <c r="B6" s="699"/>
      <c r="C6" s="141"/>
    </row>
    <row r="7" spans="1:15" ht="15">
      <c r="A7" s="1091" t="s">
        <v>103</v>
      </c>
      <c r="B7" s="1032" t="s">
        <v>3</v>
      </c>
      <c r="C7" s="1084" t="s">
        <v>21</v>
      </c>
      <c r="D7" s="1084"/>
      <c r="E7" s="1084"/>
      <c r="F7" s="1084"/>
      <c r="G7" s="1085" t="s">
        <v>22</v>
      </c>
      <c r="H7" s="1086"/>
      <c r="I7" s="1086"/>
      <c r="J7" s="1087"/>
      <c r="K7" s="1032" t="s">
        <v>371</v>
      </c>
      <c r="L7" s="1043" t="s">
        <v>580</v>
      </c>
    </row>
    <row r="8" spans="1:15">
      <c r="A8" s="1092"/>
      <c r="B8" s="1094"/>
      <c r="C8" s="1043" t="s">
        <v>239</v>
      </c>
      <c r="D8" s="1032" t="s">
        <v>431</v>
      </c>
      <c r="E8" s="1095" t="s">
        <v>91</v>
      </c>
      <c r="F8" s="1042"/>
      <c r="G8" s="1033" t="s">
        <v>239</v>
      </c>
      <c r="H8" s="1043" t="s">
        <v>431</v>
      </c>
      <c r="I8" s="1096" t="s">
        <v>91</v>
      </c>
      <c r="J8" s="1097"/>
      <c r="K8" s="1094"/>
      <c r="L8" s="1043"/>
    </row>
    <row r="9" spans="1:15" ht="51">
      <c r="A9" s="1093"/>
      <c r="B9" s="1033"/>
      <c r="C9" s="1043"/>
      <c r="D9" s="1033"/>
      <c r="E9" s="455" t="s">
        <v>828</v>
      </c>
      <c r="F9" s="191" t="s">
        <v>432</v>
      </c>
      <c r="G9" s="1043"/>
      <c r="H9" s="1043"/>
      <c r="I9" s="537" t="s">
        <v>828</v>
      </c>
      <c r="J9" s="191" t="s">
        <v>432</v>
      </c>
      <c r="K9" s="1033"/>
      <c r="L9" s="1043"/>
      <c r="M9" s="53"/>
      <c r="N9" s="53"/>
      <c r="O9" s="53"/>
    </row>
    <row r="10" spans="1:15">
      <c r="A10" s="73">
        <v>1</v>
      </c>
      <c r="B10" s="72">
        <v>2</v>
      </c>
      <c r="C10" s="73">
        <v>3</v>
      </c>
      <c r="D10" s="72">
        <v>4</v>
      </c>
      <c r="E10" s="73">
        <v>5</v>
      </c>
      <c r="F10" s="72">
        <v>6</v>
      </c>
      <c r="G10" s="73">
        <v>7</v>
      </c>
      <c r="H10" s="72">
        <v>8</v>
      </c>
      <c r="I10" s="73">
        <v>9</v>
      </c>
      <c r="J10" s="72">
        <v>10</v>
      </c>
      <c r="K10" s="73">
        <v>11</v>
      </c>
      <c r="L10" s="72">
        <v>12</v>
      </c>
      <c r="M10" s="53"/>
      <c r="N10" s="53"/>
      <c r="O10" s="53"/>
    </row>
    <row r="11" spans="1:15" s="53" customFormat="1">
      <c r="A11" s="204">
        <v>1</v>
      </c>
      <c r="B11" s="204" t="s">
        <v>624</v>
      </c>
      <c r="C11" s="51">
        <v>39437</v>
      </c>
      <c r="D11" s="312">
        <v>1224</v>
      </c>
      <c r="E11" s="312">
        <f>1224-3</f>
        <v>1221</v>
      </c>
      <c r="F11" s="51">
        <v>0</v>
      </c>
      <c r="G11" s="51">
        <v>16268</v>
      </c>
      <c r="H11" s="51">
        <v>619</v>
      </c>
      <c r="I11" s="51">
        <v>619</v>
      </c>
      <c r="J11" s="51">
        <v>0</v>
      </c>
      <c r="K11" s="1138">
        <v>1843</v>
      </c>
      <c r="L11" s="52">
        <v>0</v>
      </c>
      <c r="M11" s="540"/>
    </row>
    <row r="12" spans="1:15" s="53" customFormat="1">
      <c r="A12" s="204">
        <f>A11+1</f>
        <v>2</v>
      </c>
      <c r="B12" s="204" t="s">
        <v>589</v>
      </c>
      <c r="C12" s="51">
        <v>41148</v>
      </c>
      <c r="D12" s="312">
        <v>1639</v>
      </c>
      <c r="E12" s="312">
        <f>1639-4</f>
        <v>1635</v>
      </c>
      <c r="F12" s="51">
        <v>0</v>
      </c>
      <c r="G12" s="51">
        <v>17433</v>
      </c>
      <c r="H12" s="51">
        <v>586</v>
      </c>
      <c r="I12" s="51">
        <f>586-2</f>
        <v>584</v>
      </c>
      <c r="J12" s="51">
        <v>0</v>
      </c>
      <c r="K12" s="1138">
        <v>2225</v>
      </c>
      <c r="L12" s="52">
        <v>0</v>
      </c>
      <c r="M12" s="540"/>
    </row>
    <row r="13" spans="1:15" s="53" customFormat="1">
      <c r="A13" s="204">
        <f t="shared" ref="A13:A43" si="0">A12+1</f>
        <v>3</v>
      </c>
      <c r="B13" s="204" t="s">
        <v>625</v>
      </c>
      <c r="C13" s="51">
        <v>86919</v>
      </c>
      <c r="D13" s="312">
        <v>876</v>
      </c>
      <c r="E13" s="312">
        <v>876</v>
      </c>
      <c r="F13" s="51">
        <v>0</v>
      </c>
      <c r="G13" s="51">
        <v>44303</v>
      </c>
      <c r="H13" s="51">
        <v>283</v>
      </c>
      <c r="I13" s="51">
        <v>283</v>
      </c>
      <c r="J13" s="51">
        <v>0</v>
      </c>
      <c r="K13" s="1138">
        <v>1159</v>
      </c>
      <c r="L13" s="52">
        <v>0</v>
      </c>
      <c r="M13" s="540"/>
    </row>
    <row r="14" spans="1:15" s="53" customFormat="1">
      <c r="A14" s="204">
        <f t="shared" si="0"/>
        <v>4</v>
      </c>
      <c r="B14" s="204" t="s">
        <v>590</v>
      </c>
      <c r="C14" s="51">
        <v>27174</v>
      </c>
      <c r="D14" s="312">
        <v>798</v>
      </c>
      <c r="E14" s="312">
        <f>798-2</f>
        <v>796</v>
      </c>
      <c r="F14" s="51">
        <v>0</v>
      </c>
      <c r="G14" s="51">
        <v>18828</v>
      </c>
      <c r="H14" s="51">
        <v>768</v>
      </c>
      <c r="I14" s="51">
        <v>768</v>
      </c>
      <c r="J14" s="51">
        <v>0</v>
      </c>
      <c r="K14" s="1138">
        <v>1566</v>
      </c>
      <c r="L14" s="52">
        <v>0</v>
      </c>
      <c r="M14" s="540"/>
    </row>
    <row r="15" spans="1:15" s="53" customFormat="1">
      <c r="A15" s="204">
        <f t="shared" si="0"/>
        <v>5</v>
      </c>
      <c r="B15" s="204" t="s">
        <v>591</v>
      </c>
      <c r="C15" s="51">
        <v>16195</v>
      </c>
      <c r="D15" s="312">
        <v>600</v>
      </c>
      <c r="E15" s="312">
        <v>600</v>
      </c>
      <c r="F15" s="51">
        <v>0</v>
      </c>
      <c r="G15" s="51">
        <v>12343</v>
      </c>
      <c r="H15" s="51">
        <v>492</v>
      </c>
      <c r="I15" s="51">
        <v>492</v>
      </c>
      <c r="J15" s="51">
        <v>0</v>
      </c>
      <c r="K15" s="1138">
        <v>1092</v>
      </c>
      <c r="L15" s="52">
        <v>0</v>
      </c>
      <c r="M15" s="540"/>
    </row>
    <row r="16" spans="1:15" s="53" customFormat="1">
      <c r="A16" s="204">
        <f t="shared" si="0"/>
        <v>6</v>
      </c>
      <c r="B16" s="204" t="s">
        <v>592</v>
      </c>
      <c r="C16" s="51">
        <v>11731</v>
      </c>
      <c r="D16" s="312">
        <v>426</v>
      </c>
      <c r="E16" s="312">
        <v>426</v>
      </c>
      <c r="F16" s="51">
        <v>0</v>
      </c>
      <c r="G16" s="51">
        <v>6205</v>
      </c>
      <c r="H16" s="51">
        <f>558-200</f>
        <v>358</v>
      </c>
      <c r="I16" s="51">
        <f>558-200</f>
        <v>358</v>
      </c>
      <c r="J16" s="51">
        <v>0</v>
      </c>
      <c r="K16" s="1138">
        <v>784</v>
      </c>
      <c r="L16" s="52">
        <v>0</v>
      </c>
      <c r="M16" s="540"/>
    </row>
    <row r="17" spans="1:15" s="53" customFormat="1">
      <c r="A17" s="204">
        <f t="shared" si="0"/>
        <v>7</v>
      </c>
      <c r="B17" s="204" t="s">
        <v>593</v>
      </c>
      <c r="C17" s="51">
        <v>35055</v>
      </c>
      <c r="D17" s="312">
        <v>802</v>
      </c>
      <c r="E17" s="312">
        <v>802</v>
      </c>
      <c r="F17" s="51">
        <v>0</v>
      </c>
      <c r="G17" s="51">
        <v>17876</v>
      </c>
      <c r="H17" s="51">
        <v>402</v>
      </c>
      <c r="I17" s="51">
        <v>402</v>
      </c>
      <c r="J17" s="51">
        <v>0</v>
      </c>
      <c r="K17" s="1138">
        <v>1204</v>
      </c>
      <c r="L17" s="52">
        <v>0</v>
      </c>
      <c r="M17" s="540"/>
    </row>
    <row r="18" spans="1:15" s="53" customFormat="1">
      <c r="A18" s="204">
        <f t="shared" si="0"/>
        <v>8</v>
      </c>
      <c r="B18" s="204" t="s">
        <v>594</v>
      </c>
      <c r="C18" s="51">
        <v>43898</v>
      </c>
      <c r="D18" s="312">
        <v>1101</v>
      </c>
      <c r="E18" s="312">
        <v>1101</v>
      </c>
      <c r="F18" s="51">
        <v>0</v>
      </c>
      <c r="G18" s="51">
        <v>24482</v>
      </c>
      <c r="H18" s="51">
        <v>901</v>
      </c>
      <c r="I18" s="51">
        <v>901</v>
      </c>
      <c r="J18" s="51">
        <v>0</v>
      </c>
      <c r="K18" s="1138">
        <v>2002</v>
      </c>
      <c r="L18" s="52">
        <v>0</v>
      </c>
      <c r="M18" s="540"/>
    </row>
    <row r="19" spans="1:15" s="53" customFormat="1">
      <c r="A19" s="204">
        <f t="shared" si="0"/>
        <v>9</v>
      </c>
      <c r="B19" s="204" t="s">
        <v>595</v>
      </c>
      <c r="C19" s="51">
        <v>19095</v>
      </c>
      <c r="D19" s="312">
        <v>578</v>
      </c>
      <c r="E19" s="312">
        <v>578</v>
      </c>
      <c r="F19" s="51">
        <v>0</v>
      </c>
      <c r="G19" s="51">
        <v>14439</v>
      </c>
      <c r="H19" s="51">
        <v>556</v>
      </c>
      <c r="I19" s="51">
        <v>556</v>
      </c>
      <c r="J19" s="51">
        <v>0</v>
      </c>
      <c r="K19" s="1138">
        <v>1134</v>
      </c>
      <c r="L19" s="52">
        <v>0</v>
      </c>
      <c r="M19" s="540"/>
    </row>
    <row r="20" spans="1:15" s="53" customFormat="1">
      <c r="A20" s="204">
        <f t="shared" si="0"/>
        <v>10</v>
      </c>
      <c r="B20" s="204" t="s">
        <v>596</v>
      </c>
      <c r="C20" s="51">
        <v>44986</v>
      </c>
      <c r="D20" s="312">
        <v>1450</v>
      </c>
      <c r="E20" s="312">
        <f>1450-2</f>
        <v>1448</v>
      </c>
      <c r="F20" s="51">
        <v>0</v>
      </c>
      <c r="G20" s="51">
        <v>25259</v>
      </c>
      <c r="H20" s="51">
        <v>984</v>
      </c>
      <c r="I20" s="51">
        <f>984-3</f>
        <v>981</v>
      </c>
      <c r="J20" s="51">
        <v>0</v>
      </c>
      <c r="K20" s="1138">
        <v>2434</v>
      </c>
      <c r="L20" s="52">
        <v>0</v>
      </c>
      <c r="M20" s="540"/>
    </row>
    <row r="21" spans="1:15" s="53" customFormat="1">
      <c r="A21" s="204">
        <f t="shared" si="0"/>
        <v>11</v>
      </c>
      <c r="B21" s="204" t="s">
        <v>626</v>
      </c>
      <c r="C21" s="51">
        <v>28826</v>
      </c>
      <c r="D21" s="312">
        <v>1151</v>
      </c>
      <c r="E21" s="312">
        <v>1151</v>
      </c>
      <c r="F21" s="51">
        <v>0</v>
      </c>
      <c r="G21" s="51">
        <v>10606</v>
      </c>
      <c r="H21" s="51">
        <v>430</v>
      </c>
      <c r="I21" s="51">
        <v>430</v>
      </c>
      <c r="J21" s="51">
        <v>0</v>
      </c>
      <c r="K21" s="1138">
        <v>1581</v>
      </c>
      <c r="L21" s="52">
        <v>0</v>
      </c>
      <c r="M21" s="540"/>
    </row>
    <row r="22" spans="1:15" s="53" customFormat="1">
      <c r="A22" s="204">
        <f t="shared" si="0"/>
        <v>12</v>
      </c>
      <c r="B22" s="204" t="s">
        <v>597</v>
      </c>
      <c r="C22" s="51">
        <v>26690</v>
      </c>
      <c r="D22" s="312">
        <v>1143</v>
      </c>
      <c r="E22" s="312">
        <v>1143</v>
      </c>
      <c r="F22" s="51">
        <v>0</v>
      </c>
      <c r="G22" s="51">
        <v>13649</v>
      </c>
      <c r="H22" s="51">
        <v>557</v>
      </c>
      <c r="I22" s="51">
        <v>557</v>
      </c>
      <c r="J22" s="51">
        <v>0</v>
      </c>
      <c r="K22" s="1138">
        <v>1700</v>
      </c>
      <c r="L22" s="52">
        <v>0</v>
      </c>
      <c r="M22" s="540"/>
    </row>
    <row r="23" spans="1:15" s="53" customFormat="1">
      <c r="A23" s="204">
        <f t="shared" si="0"/>
        <v>13</v>
      </c>
      <c r="B23" s="204" t="s">
        <v>598</v>
      </c>
      <c r="C23" s="51">
        <v>39745</v>
      </c>
      <c r="D23" s="312">
        <v>1176</v>
      </c>
      <c r="E23" s="312">
        <v>1176</v>
      </c>
      <c r="F23" s="51">
        <v>0</v>
      </c>
      <c r="G23" s="51">
        <v>24010</v>
      </c>
      <c r="H23" s="51">
        <f>1377-588</f>
        <v>789</v>
      </c>
      <c r="I23" s="51">
        <f>1377-588</f>
        <v>789</v>
      </c>
      <c r="J23" s="51">
        <v>0</v>
      </c>
      <c r="K23" s="1138">
        <v>1965</v>
      </c>
      <c r="L23" s="52">
        <v>0</v>
      </c>
      <c r="M23" s="540"/>
    </row>
    <row r="24" spans="1:15" s="53" customFormat="1">
      <c r="A24" s="204">
        <f t="shared" si="0"/>
        <v>14</v>
      </c>
      <c r="B24" s="204" t="s">
        <v>627</v>
      </c>
      <c r="C24" s="51">
        <v>21356</v>
      </c>
      <c r="D24" s="312">
        <v>763</v>
      </c>
      <c r="E24" s="312">
        <v>763</v>
      </c>
      <c r="F24" s="51">
        <v>0</v>
      </c>
      <c r="G24" s="51">
        <v>15417</v>
      </c>
      <c r="H24" s="51">
        <v>527</v>
      </c>
      <c r="I24" s="51">
        <v>527</v>
      </c>
      <c r="J24" s="51">
        <v>0</v>
      </c>
      <c r="K24" s="1138">
        <v>1290</v>
      </c>
      <c r="L24" s="52">
        <v>0</v>
      </c>
      <c r="M24" s="540"/>
    </row>
    <row r="25" spans="1:15" s="53" customFormat="1">
      <c r="A25" s="204">
        <f t="shared" si="0"/>
        <v>15</v>
      </c>
      <c r="B25" s="204" t="s">
        <v>599</v>
      </c>
      <c r="C25" s="51">
        <v>39140</v>
      </c>
      <c r="D25" s="312">
        <v>1562</v>
      </c>
      <c r="E25" s="312">
        <f>1562-2</f>
        <v>1560</v>
      </c>
      <c r="F25" s="51">
        <v>0</v>
      </c>
      <c r="G25" s="51">
        <v>24398</v>
      </c>
      <c r="H25" s="51">
        <v>763</v>
      </c>
      <c r="I25" s="51">
        <v>763</v>
      </c>
      <c r="J25" s="51">
        <v>0</v>
      </c>
      <c r="K25" s="1138">
        <v>2325</v>
      </c>
      <c r="L25" s="52">
        <v>0</v>
      </c>
      <c r="M25" s="540"/>
    </row>
    <row r="26" spans="1:15" s="53" customFormat="1">
      <c r="A26" s="204">
        <f t="shared" si="0"/>
        <v>16</v>
      </c>
      <c r="B26" s="204" t="s">
        <v>600</v>
      </c>
      <c r="C26" s="51">
        <v>40294</v>
      </c>
      <c r="D26" s="312">
        <v>812</v>
      </c>
      <c r="E26" s="312">
        <v>812</v>
      </c>
      <c r="F26" s="51">
        <v>0</v>
      </c>
      <c r="G26" s="51">
        <v>25809</v>
      </c>
      <c r="H26" s="538">
        <v>347</v>
      </c>
      <c r="I26" s="538">
        <f>347-3</f>
        <v>344</v>
      </c>
      <c r="J26" s="51">
        <v>0</v>
      </c>
      <c r="K26" s="1138">
        <v>1159</v>
      </c>
      <c r="L26" s="52">
        <v>0</v>
      </c>
      <c r="M26" s="540"/>
    </row>
    <row r="27" spans="1:15" s="53" customFormat="1">
      <c r="A27" s="204">
        <f t="shared" si="0"/>
        <v>17</v>
      </c>
      <c r="B27" s="426" t="s">
        <v>684</v>
      </c>
      <c r="C27" s="51">
        <v>11202</v>
      </c>
      <c r="D27" s="312">
        <v>436</v>
      </c>
      <c r="E27" s="312">
        <v>436</v>
      </c>
      <c r="F27" s="51">
        <v>0</v>
      </c>
      <c r="G27" s="51">
        <v>4321</v>
      </c>
      <c r="H27" s="538">
        <v>200</v>
      </c>
      <c r="I27" s="538">
        <v>200</v>
      </c>
      <c r="J27" s="51">
        <v>0</v>
      </c>
      <c r="K27" s="1138">
        <v>636</v>
      </c>
      <c r="L27" s="52">
        <v>0</v>
      </c>
      <c r="M27" s="540"/>
    </row>
    <row r="28" spans="1:15" s="53" customFormat="1">
      <c r="A28" s="204">
        <f t="shared" si="0"/>
        <v>18</v>
      </c>
      <c r="B28" s="204" t="s">
        <v>601</v>
      </c>
      <c r="C28" s="51">
        <v>32549</v>
      </c>
      <c r="D28" s="312">
        <v>1120</v>
      </c>
      <c r="E28" s="312">
        <v>1120</v>
      </c>
      <c r="F28" s="51">
        <v>0</v>
      </c>
      <c r="G28" s="51">
        <v>19356</v>
      </c>
      <c r="H28" s="538">
        <v>743</v>
      </c>
      <c r="I28" s="538">
        <v>743</v>
      </c>
      <c r="J28" s="51">
        <v>0</v>
      </c>
      <c r="K28" s="1138">
        <v>1863</v>
      </c>
      <c r="L28" s="52">
        <v>0</v>
      </c>
      <c r="M28" s="540"/>
    </row>
    <row r="29" spans="1:15">
      <c r="A29" s="204">
        <f t="shared" si="0"/>
        <v>19</v>
      </c>
      <c r="B29" s="204" t="s">
        <v>602</v>
      </c>
      <c r="C29" s="51">
        <v>52013</v>
      </c>
      <c r="D29" s="312">
        <v>2205</v>
      </c>
      <c r="E29" s="312">
        <v>2205</v>
      </c>
      <c r="F29" s="51">
        <v>0</v>
      </c>
      <c r="G29" s="51">
        <v>31645</v>
      </c>
      <c r="H29" s="538">
        <v>698</v>
      </c>
      <c r="I29" s="538">
        <v>698</v>
      </c>
      <c r="J29" s="51">
        <v>0</v>
      </c>
      <c r="K29" s="1138">
        <v>2903</v>
      </c>
      <c r="L29" s="52">
        <v>0</v>
      </c>
      <c r="M29" s="540"/>
      <c r="N29" s="53"/>
      <c r="O29" s="53"/>
    </row>
    <row r="30" spans="1:15">
      <c r="A30" s="204">
        <f t="shared" si="0"/>
        <v>20</v>
      </c>
      <c r="B30" s="426" t="s">
        <v>683</v>
      </c>
      <c r="C30" s="51">
        <v>32619</v>
      </c>
      <c r="D30" s="312">
        <f>2112-1176</f>
        <v>936</v>
      </c>
      <c r="E30" s="312">
        <f>2112-1176</f>
        <v>936</v>
      </c>
      <c r="F30" s="51">
        <v>0</v>
      </c>
      <c r="G30" s="51">
        <v>18395</v>
      </c>
      <c r="H30" s="538">
        <v>588</v>
      </c>
      <c r="I30" s="538">
        <v>588</v>
      </c>
      <c r="J30" s="51">
        <v>0</v>
      </c>
      <c r="K30" s="1138">
        <v>1524</v>
      </c>
      <c r="L30" s="52">
        <v>0</v>
      </c>
      <c r="M30" s="540"/>
      <c r="N30" s="53"/>
      <c r="O30" s="53"/>
    </row>
    <row r="31" spans="1:15">
      <c r="A31" s="204">
        <f t="shared" si="0"/>
        <v>21</v>
      </c>
      <c r="B31" s="204" t="s">
        <v>628</v>
      </c>
      <c r="C31" s="50">
        <v>27319</v>
      </c>
      <c r="D31" s="312">
        <v>868</v>
      </c>
      <c r="E31" s="312">
        <v>868</v>
      </c>
      <c r="F31" s="51">
        <v>0</v>
      </c>
      <c r="G31" s="51">
        <v>14190</v>
      </c>
      <c r="H31" s="539">
        <v>418</v>
      </c>
      <c r="I31" s="539">
        <f>418-1</f>
        <v>417</v>
      </c>
      <c r="J31" s="51">
        <v>0</v>
      </c>
      <c r="K31" s="1138">
        <v>1286</v>
      </c>
      <c r="L31" s="52">
        <v>0</v>
      </c>
      <c r="M31" s="540"/>
      <c r="N31" s="53"/>
      <c r="O31" s="53"/>
    </row>
    <row r="32" spans="1:15">
      <c r="A32" s="204">
        <f t="shared" si="0"/>
        <v>22</v>
      </c>
      <c r="B32" s="204" t="s">
        <v>603</v>
      </c>
      <c r="C32" s="50">
        <v>53474</v>
      </c>
      <c r="D32" s="312">
        <v>1256</v>
      </c>
      <c r="E32" s="312">
        <v>1256</v>
      </c>
      <c r="F32" s="51">
        <v>0</v>
      </c>
      <c r="G32" s="51">
        <v>32003</v>
      </c>
      <c r="H32" s="50">
        <v>1027</v>
      </c>
      <c r="I32" s="50">
        <f>1027-2</f>
        <v>1025</v>
      </c>
      <c r="J32" s="51">
        <v>0</v>
      </c>
      <c r="K32" s="1138">
        <v>2283</v>
      </c>
      <c r="L32" s="52">
        <v>0</v>
      </c>
      <c r="M32" s="540"/>
      <c r="N32" s="53"/>
    </row>
    <row r="33" spans="1:19">
      <c r="A33" s="204">
        <f t="shared" si="0"/>
        <v>23</v>
      </c>
      <c r="B33" s="204" t="s">
        <v>604</v>
      </c>
      <c r="C33" s="50">
        <v>14850</v>
      </c>
      <c r="D33" s="312">
        <v>573</v>
      </c>
      <c r="E33" s="312">
        <v>573</v>
      </c>
      <c r="F33" s="51">
        <v>0</v>
      </c>
      <c r="G33" s="51">
        <v>11140</v>
      </c>
      <c r="H33" s="50">
        <v>550</v>
      </c>
      <c r="I33" s="50">
        <v>550</v>
      </c>
      <c r="J33" s="51">
        <v>0</v>
      </c>
      <c r="K33" s="1138">
        <v>1123</v>
      </c>
      <c r="L33" s="52">
        <v>0</v>
      </c>
      <c r="M33" s="540"/>
      <c r="N33" s="53"/>
    </row>
    <row r="34" spans="1:19">
      <c r="A34" s="204">
        <f t="shared" si="0"/>
        <v>24</v>
      </c>
      <c r="B34" s="204" t="s">
        <v>605</v>
      </c>
      <c r="C34" s="50">
        <v>17577</v>
      </c>
      <c r="D34" s="312">
        <v>438</v>
      </c>
      <c r="E34" s="312">
        <v>438</v>
      </c>
      <c r="F34" s="51">
        <v>0</v>
      </c>
      <c r="G34" s="51">
        <v>10473</v>
      </c>
      <c r="H34" s="50">
        <v>425</v>
      </c>
      <c r="I34" s="50">
        <v>425</v>
      </c>
      <c r="J34" s="51">
        <v>0</v>
      </c>
      <c r="K34" s="1138">
        <v>863</v>
      </c>
      <c r="L34" s="52">
        <v>0</v>
      </c>
      <c r="M34" s="540"/>
      <c r="N34" s="53"/>
    </row>
    <row r="35" spans="1:19">
      <c r="A35" s="204">
        <f t="shared" si="0"/>
        <v>25</v>
      </c>
      <c r="B35" s="204" t="s">
        <v>606</v>
      </c>
      <c r="C35" s="50">
        <v>75011</v>
      </c>
      <c r="D35" s="312">
        <v>1885</v>
      </c>
      <c r="E35" s="312">
        <v>1885</v>
      </c>
      <c r="F35" s="51">
        <v>0</v>
      </c>
      <c r="G35" s="51">
        <v>47822</v>
      </c>
      <c r="H35" s="50">
        <v>808</v>
      </c>
      <c r="I35" s="50">
        <v>808</v>
      </c>
      <c r="J35" s="51">
        <v>0</v>
      </c>
      <c r="K35" s="1138">
        <v>2693</v>
      </c>
      <c r="L35" s="52">
        <v>0</v>
      </c>
      <c r="M35" s="540"/>
      <c r="N35" s="53"/>
    </row>
    <row r="36" spans="1:19">
      <c r="A36" s="204">
        <f t="shared" si="0"/>
        <v>26</v>
      </c>
      <c r="B36" s="204" t="s">
        <v>607</v>
      </c>
      <c r="C36" s="50">
        <v>58769</v>
      </c>
      <c r="D36" s="312">
        <v>1834</v>
      </c>
      <c r="E36" s="312">
        <v>1834</v>
      </c>
      <c r="F36" s="51">
        <v>0</v>
      </c>
      <c r="G36" s="51">
        <v>35028</v>
      </c>
      <c r="H36" s="50">
        <v>826</v>
      </c>
      <c r="I36" s="50">
        <f>826-2</f>
        <v>824</v>
      </c>
      <c r="J36" s="51">
        <v>0</v>
      </c>
      <c r="K36" s="1138">
        <v>2660</v>
      </c>
      <c r="L36" s="52">
        <v>0</v>
      </c>
      <c r="M36" s="540"/>
      <c r="N36" s="53"/>
    </row>
    <row r="37" spans="1:19">
      <c r="A37" s="204">
        <f t="shared" si="0"/>
        <v>27</v>
      </c>
      <c r="B37" s="204" t="s">
        <v>608</v>
      </c>
      <c r="C37" s="50">
        <v>37785</v>
      </c>
      <c r="D37" s="312">
        <v>1232</v>
      </c>
      <c r="E37" s="312">
        <v>1232</v>
      </c>
      <c r="F37" s="51">
        <v>0</v>
      </c>
      <c r="G37" s="51">
        <v>26301</v>
      </c>
      <c r="H37" s="50">
        <v>819</v>
      </c>
      <c r="I37" s="50">
        <v>819</v>
      </c>
      <c r="J37" s="51">
        <v>0</v>
      </c>
      <c r="K37" s="1138">
        <v>2051</v>
      </c>
      <c r="L37" s="52">
        <v>0</v>
      </c>
      <c r="M37" s="540"/>
      <c r="N37" s="53"/>
    </row>
    <row r="38" spans="1:19">
      <c r="A38" s="204">
        <f t="shared" si="0"/>
        <v>28</v>
      </c>
      <c r="B38" s="204" t="s">
        <v>609</v>
      </c>
      <c r="C38" s="50">
        <v>31176</v>
      </c>
      <c r="D38" s="312">
        <v>1430</v>
      </c>
      <c r="E38" s="312">
        <v>1430</v>
      </c>
      <c r="F38" s="51">
        <v>0</v>
      </c>
      <c r="G38" s="51">
        <v>18177</v>
      </c>
      <c r="H38" s="50">
        <v>462</v>
      </c>
      <c r="I38" s="50">
        <f>462-1</f>
        <v>461</v>
      </c>
      <c r="J38" s="51">
        <v>0</v>
      </c>
      <c r="K38" s="1138">
        <v>1892</v>
      </c>
      <c r="L38" s="52">
        <v>0</v>
      </c>
      <c r="M38" s="540"/>
      <c r="N38" s="53"/>
    </row>
    <row r="39" spans="1:19">
      <c r="A39" s="204">
        <f t="shared" si="0"/>
        <v>29</v>
      </c>
      <c r="B39" s="204" t="s">
        <v>610</v>
      </c>
      <c r="C39" s="50">
        <v>46456</v>
      </c>
      <c r="D39" s="312">
        <v>1170</v>
      </c>
      <c r="E39" s="312">
        <v>1170</v>
      </c>
      <c r="F39" s="51">
        <v>0</v>
      </c>
      <c r="G39" s="51">
        <v>28668</v>
      </c>
      <c r="H39" s="50">
        <v>779</v>
      </c>
      <c r="I39" s="50">
        <v>779</v>
      </c>
      <c r="J39" s="51">
        <v>0</v>
      </c>
      <c r="K39" s="1138">
        <v>1949</v>
      </c>
      <c r="L39" s="52">
        <v>0</v>
      </c>
      <c r="M39" s="540"/>
      <c r="N39" s="53"/>
    </row>
    <row r="40" spans="1:19">
      <c r="A40" s="204">
        <f t="shared" si="0"/>
        <v>30</v>
      </c>
      <c r="B40" s="143" t="s">
        <v>611</v>
      </c>
      <c r="C40" s="50">
        <v>23629</v>
      </c>
      <c r="D40" s="312">
        <v>697</v>
      </c>
      <c r="E40" s="312">
        <v>697</v>
      </c>
      <c r="F40" s="51">
        <v>0</v>
      </c>
      <c r="G40" s="51">
        <v>13472</v>
      </c>
      <c r="H40" s="50">
        <v>529</v>
      </c>
      <c r="I40" s="50">
        <v>529</v>
      </c>
      <c r="J40" s="51">
        <v>0</v>
      </c>
      <c r="K40" s="1138">
        <v>1226</v>
      </c>
      <c r="L40" s="52">
        <v>0</v>
      </c>
      <c r="M40" s="540"/>
      <c r="N40" s="53"/>
    </row>
    <row r="41" spans="1:19">
      <c r="A41" s="204">
        <f t="shared" si="0"/>
        <v>31</v>
      </c>
      <c r="B41" s="143" t="s">
        <v>612</v>
      </c>
      <c r="C41" s="50">
        <v>17998</v>
      </c>
      <c r="D41" s="312">
        <v>754</v>
      </c>
      <c r="E41" s="312">
        <v>754</v>
      </c>
      <c r="F41" s="51">
        <v>0</v>
      </c>
      <c r="G41" s="51">
        <v>10194</v>
      </c>
      <c r="H41" s="50">
        <v>578</v>
      </c>
      <c r="I41" s="50">
        <f>578-2</f>
        <v>576</v>
      </c>
      <c r="J41" s="51">
        <v>0</v>
      </c>
      <c r="K41" s="1138">
        <v>1332</v>
      </c>
      <c r="L41" s="52">
        <v>0</v>
      </c>
      <c r="M41" s="540"/>
      <c r="N41" s="53"/>
    </row>
    <row r="42" spans="1:19">
      <c r="A42" s="204">
        <f t="shared" si="0"/>
        <v>32</v>
      </c>
      <c r="B42" s="143" t="s">
        <v>613</v>
      </c>
      <c r="C42" s="50">
        <v>22485</v>
      </c>
      <c r="D42" s="312">
        <v>564</v>
      </c>
      <c r="E42" s="312">
        <v>564</v>
      </c>
      <c r="F42" s="51">
        <v>0</v>
      </c>
      <c r="G42" s="51">
        <v>13794</v>
      </c>
      <c r="H42" s="50">
        <v>525</v>
      </c>
      <c r="I42" s="50">
        <f>525-2</f>
        <v>523</v>
      </c>
      <c r="J42" s="51">
        <v>0</v>
      </c>
      <c r="K42" s="1138">
        <v>1089</v>
      </c>
      <c r="L42" s="52">
        <v>0</v>
      </c>
      <c r="M42" s="540"/>
      <c r="N42" s="53"/>
    </row>
    <row r="43" spans="1:19">
      <c r="A43" s="204">
        <f t="shared" si="0"/>
        <v>33</v>
      </c>
      <c r="B43" s="143" t="s">
        <v>614</v>
      </c>
      <c r="C43" s="50">
        <v>19569</v>
      </c>
      <c r="D43" s="312">
        <v>1017</v>
      </c>
      <c r="E43" s="312">
        <v>1017</v>
      </c>
      <c r="F43" s="51">
        <v>0</v>
      </c>
      <c r="G43" s="51">
        <v>15102</v>
      </c>
      <c r="H43" s="50">
        <v>379</v>
      </c>
      <c r="I43" s="50">
        <v>379</v>
      </c>
      <c r="J43" s="51">
        <v>0</v>
      </c>
      <c r="K43" s="1138">
        <v>1396</v>
      </c>
      <c r="L43" s="52">
        <v>0</v>
      </c>
      <c r="M43" s="540"/>
      <c r="N43" s="53"/>
    </row>
    <row r="44" spans="1:19" ht="15">
      <c r="A44" s="151"/>
      <c r="B44" s="151" t="s">
        <v>615</v>
      </c>
      <c r="C44" s="297">
        <f>SUM(C11:C43)</f>
        <v>1136170</v>
      </c>
      <c r="D44" s="297">
        <f t="shared" ref="D44:L44" si="1">SUM(D11:D43)</f>
        <v>34516</v>
      </c>
      <c r="E44" s="297">
        <f t="shared" si="1"/>
        <v>34503</v>
      </c>
      <c r="F44" s="297">
        <f t="shared" si="1"/>
        <v>0</v>
      </c>
      <c r="G44" s="297">
        <f t="shared" si="1"/>
        <v>661406</v>
      </c>
      <c r="H44" s="297">
        <f t="shared" si="1"/>
        <v>19716</v>
      </c>
      <c r="I44" s="297">
        <f t="shared" si="1"/>
        <v>19698</v>
      </c>
      <c r="J44" s="297">
        <f t="shared" si="1"/>
        <v>0</v>
      </c>
      <c r="K44" s="405">
        <f t="shared" si="1"/>
        <v>54232</v>
      </c>
      <c r="L44" s="297">
        <f t="shared" si="1"/>
        <v>0</v>
      </c>
      <c r="M44" s="540"/>
      <c r="N44" s="232"/>
    </row>
    <row r="45" spans="1:19">
      <c r="A45" s="1088" t="s">
        <v>112</v>
      </c>
      <c r="B45" s="1089"/>
      <c r="C45" s="1089"/>
      <c r="D45" s="1089"/>
      <c r="E45" s="1089"/>
      <c r="F45" s="1089"/>
      <c r="G45" s="1089"/>
      <c r="H45" s="1089"/>
      <c r="I45" s="1089"/>
      <c r="J45" s="1089"/>
      <c r="K45" s="1090"/>
      <c r="L45" s="1090"/>
    </row>
    <row r="47" spans="1:19" s="173" customFormat="1" ht="12.75">
      <c r="J47" s="705"/>
      <c r="K47" s="705"/>
      <c r="L47" s="705"/>
      <c r="M47" s="705"/>
      <c r="N47" s="705"/>
      <c r="O47" s="705"/>
      <c r="P47" s="705"/>
      <c r="Q47" s="705"/>
      <c r="R47" s="705"/>
      <c r="S47" s="705"/>
    </row>
    <row r="49" spans="9:12" ht="15.75">
      <c r="I49" s="761" t="s">
        <v>908</v>
      </c>
      <c r="J49" s="761"/>
      <c r="K49" s="761"/>
      <c r="L49" s="761"/>
    </row>
    <row r="50" spans="9:12" ht="15.75">
      <c r="I50" s="761" t="s">
        <v>646</v>
      </c>
      <c r="J50" s="761"/>
      <c r="K50" s="761"/>
      <c r="L50" s="761"/>
    </row>
  </sheetData>
  <mergeCells count="21">
    <mergeCell ref="I49:L49"/>
    <mergeCell ref="I50:L50"/>
    <mergeCell ref="K1:L1"/>
    <mergeCell ref="G7:J7"/>
    <mergeCell ref="A6:B6"/>
    <mergeCell ref="L7:L9"/>
    <mergeCell ref="A45:L45"/>
    <mergeCell ref="A7:A9"/>
    <mergeCell ref="B7:B9"/>
    <mergeCell ref="K7:K9"/>
    <mergeCell ref="J47:S47"/>
    <mergeCell ref="E8:F8"/>
    <mergeCell ref="I8:J8"/>
    <mergeCell ref="A2:L2"/>
    <mergeCell ref="A3:L3"/>
    <mergeCell ref="A5:L5"/>
    <mergeCell ref="C8:C9"/>
    <mergeCell ref="H8:H9"/>
    <mergeCell ref="G8:G9"/>
    <mergeCell ref="C7:F7"/>
    <mergeCell ref="D8:D9"/>
  </mergeCells>
  <phoneticPr fontId="0" type="noConversion"/>
  <printOptions horizontalCentered="1"/>
  <pageMargins left="0.48" right="0.44" top="0.42" bottom="0" header="0.31496062992125984" footer="0.31496062992125984"/>
  <pageSetup paperSize="9" scale="72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topLeftCell="E20" zoomScaleSheetLayoutView="100" workbookViewId="0">
      <selection activeCell="U29" sqref="U29"/>
    </sheetView>
  </sheetViews>
  <sheetFormatPr defaultColWidth="9.140625" defaultRowHeight="12.75"/>
  <cols>
    <col min="1" max="1" width="4.7109375" style="244" customWidth="1"/>
    <col min="2" max="2" width="29.5703125" style="244" customWidth="1"/>
    <col min="3" max="3" width="7.85546875" style="244" customWidth="1"/>
    <col min="4" max="4" width="8.5703125" style="244" bestFit="1" customWidth="1"/>
    <col min="5" max="5" width="7.85546875" style="244" customWidth="1"/>
    <col min="6" max="6" width="8.5703125" style="244" bestFit="1" customWidth="1"/>
    <col min="7" max="8" width="7.85546875" style="244" customWidth="1"/>
    <col min="9" max="9" width="8.85546875" style="244" customWidth="1"/>
    <col min="10" max="10" width="8.5703125" style="244" bestFit="1" customWidth="1"/>
    <col min="11" max="11" width="7.85546875" style="244" customWidth="1"/>
    <col min="12" max="12" width="8.5703125" style="244" customWidth="1"/>
    <col min="13" max="17" width="8" style="244" customWidth="1"/>
    <col min="18" max="18" width="10.5703125" style="244" customWidth="1"/>
    <col min="19" max="20" width="8" style="244" customWidth="1"/>
    <col min="21" max="21" width="8.5703125" style="244" bestFit="1" customWidth="1"/>
    <col min="22" max="22" width="8" style="244" customWidth="1"/>
    <col min="23" max="23" width="8.7109375" style="244" bestFit="1" customWidth="1"/>
    <col min="24" max="24" width="8.5703125" style="244" bestFit="1" customWidth="1"/>
    <col min="25" max="25" width="7.140625" style="244" customWidth="1"/>
    <col min="26" max="26" width="7.28515625" style="244" customWidth="1"/>
    <col min="27" max="16384" width="9.140625" style="244"/>
  </cols>
  <sheetData>
    <row r="1" spans="1:249" ht="15">
      <c r="O1" s="1105" t="s">
        <v>547</v>
      </c>
      <c r="P1" s="1105"/>
      <c r="Q1" s="1105"/>
      <c r="R1" s="1105"/>
      <c r="S1" s="1105"/>
      <c r="T1" s="1105"/>
      <c r="U1" s="1105"/>
    </row>
    <row r="2" spans="1:249" ht="15.75">
      <c r="A2" s="1116" t="s">
        <v>0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6"/>
    </row>
    <row r="3" spans="1:249" ht="15.75">
      <c r="F3" s="84"/>
      <c r="G3" s="84"/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49" ht="18">
      <c r="A4" s="1117" t="s">
        <v>737</v>
      </c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1117"/>
      <c r="V4" s="1117"/>
      <c r="W4" s="1117"/>
    </row>
    <row r="6" spans="1:249" ht="15.75">
      <c r="A6" s="1118" t="s">
        <v>739</v>
      </c>
      <c r="B6" s="1118"/>
      <c r="C6" s="1118"/>
      <c r="D6" s="1118"/>
      <c r="E6" s="1118"/>
      <c r="F6" s="1118"/>
      <c r="G6" s="1118"/>
      <c r="H6" s="1118"/>
      <c r="I6" s="1118"/>
      <c r="J6" s="1118"/>
      <c r="K6" s="1118"/>
      <c r="L6" s="1118"/>
      <c r="M6" s="1118"/>
      <c r="N6" s="1118"/>
      <c r="O6" s="1118"/>
      <c r="P6" s="1118"/>
      <c r="Q6" s="1118"/>
      <c r="R6" s="1118"/>
      <c r="S6" s="1118"/>
      <c r="T6" s="1118"/>
      <c r="U6" s="1118"/>
      <c r="V6" s="1118"/>
      <c r="W6" s="1118"/>
    </row>
    <row r="8" spans="1:249">
      <c r="A8" s="990" t="s">
        <v>658</v>
      </c>
      <c r="B8" s="990"/>
    </row>
    <row r="9" spans="1:249" ht="18">
      <c r="A9" s="86"/>
      <c r="B9" s="86"/>
      <c r="V9" s="1115" t="s">
        <v>247</v>
      </c>
      <c r="W9" s="1115"/>
    </row>
    <row r="10" spans="1:249" ht="12.75" customHeight="1">
      <c r="A10" s="1119" t="s">
        <v>2</v>
      </c>
      <c r="B10" s="1119" t="s">
        <v>104</v>
      </c>
      <c r="C10" s="1100" t="s">
        <v>21</v>
      </c>
      <c r="D10" s="1101"/>
      <c r="E10" s="1101"/>
      <c r="F10" s="1101"/>
      <c r="G10" s="1101"/>
      <c r="H10" s="1101"/>
      <c r="I10" s="1101"/>
      <c r="J10" s="1101"/>
      <c r="K10" s="1102"/>
      <c r="L10" s="1100" t="s">
        <v>22</v>
      </c>
      <c r="M10" s="1101"/>
      <c r="N10" s="1101"/>
      <c r="O10" s="1101"/>
      <c r="P10" s="1101"/>
      <c r="Q10" s="1101"/>
      <c r="R10" s="1101"/>
      <c r="S10" s="1101"/>
      <c r="T10" s="1102"/>
      <c r="U10" s="1109" t="s">
        <v>137</v>
      </c>
      <c r="V10" s="1110"/>
      <c r="W10" s="1111"/>
      <c r="X10" s="88"/>
      <c r="Y10" s="88"/>
      <c r="Z10" s="88"/>
      <c r="AA10" s="88"/>
      <c r="AB10" s="88"/>
      <c r="AC10" s="89"/>
      <c r="AD10" s="90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</row>
    <row r="11" spans="1:249" ht="12.75" customHeight="1">
      <c r="A11" s="1120"/>
      <c r="B11" s="1120"/>
      <c r="C11" s="1106" t="s">
        <v>170</v>
      </c>
      <c r="D11" s="1107"/>
      <c r="E11" s="1108"/>
      <c r="F11" s="1106" t="s">
        <v>171</v>
      </c>
      <c r="G11" s="1107"/>
      <c r="H11" s="1108"/>
      <c r="I11" s="1106" t="s">
        <v>16</v>
      </c>
      <c r="J11" s="1107"/>
      <c r="K11" s="1108"/>
      <c r="L11" s="1106" t="s">
        <v>170</v>
      </c>
      <c r="M11" s="1107"/>
      <c r="N11" s="1108"/>
      <c r="O11" s="1106" t="s">
        <v>171</v>
      </c>
      <c r="P11" s="1107"/>
      <c r="Q11" s="1108"/>
      <c r="R11" s="1106" t="s">
        <v>16</v>
      </c>
      <c r="S11" s="1107"/>
      <c r="T11" s="1108"/>
      <c r="U11" s="1112"/>
      <c r="V11" s="1113"/>
      <c r="W11" s="1114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</row>
    <row r="12" spans="1:249">
      <c r="A12" s="87"/>
      <c r="B12" s="87"/>
      <c r="C12" s="193" t="s">
        <v>248</v>
      </c>
      <c r="D12" s="194" t="s">
        <v>39</v>
      </c>
      <c r="E12" s="195" t="s">
        <v>40</v>
      </c>
      <c r="F12" s="193" t="s">
        <v>248</v>
      </c>
      <c r="G12" s="194" t="s">
        <v>39</v>
      </c>
      <c r="H12" s="195" t="s">
        <v>40</v>
      </c>
      <c r="I12" s="193" t="s">
        <v>248</v>
      </c>
      <c r="J12" s="194" t="s">
        <v>39</v>
      </c>
      <c r="K12" s="195" t="s">
        <v>40</v>
      </c>
      <c r="L12" s="193" t="s">
        <v>248</v>
      </c>
      <c r="M12" s="194" t="s">
        <v>39</v>
      </c>
      <c r="N12" s="195" t="s">
        <v>40</v>
      </c>
      <c r="O12" s="193" t="s">
        <v>248</v>
      </c>
      <c r="P12" s="194" t="s">
        <v>39</v>
      </c>
      <c r="Q12" s="195" t="s">
        <v>40</v>
      </c>
      <c r="R12" s="193" t="s">
        <v>248</v>
      </c>
      <c r="S12" s="194" t="s">
        <v>39</v>
      </c>
      <c r="T12" s="195" t="s">
        <v>40</v>
      </c>
      <c r="U12" s="87" t="s">
        <v>248</v>
      </c>
      <c r="V12" s="87" t="s">
        <v>39</v>
      </c>
      <c r="W12" s="87" t="s">
        <v>40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</row>
    <row r="13" spans="1:249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7</v>
      </c>
      <c r="G13" s="87">
        <v>8</v>
      </c>
      <c r="H13" s="87">
        <v>9</v>
      </c>
      <c r="I13" s="87">
        <v>11</v>
      </c>
      <c r="J13" s="87">
        <v>12</v>
      </c>
      <c r="K13" s="87">
        <v>13</v>
      </c>
      <c r="L13" s="87">
        <v>15</v>
      </c>
      <c r="M13" s="87">
        <v>16</v>
      </c>
      <c r="N13" s="87">
        <v>17</v>
      </c>
      <c r="O13" s="87">
        <v>19</v>
      </c>
      <c r="P13" s="87">
        <v>20</v>
      </c>
      <c r="Q13" s="87">
        <v>21</v>
      </c>
      <c r="R13" s="87">
        <v>23</v>
      </c>
      <c r="S13" s="87">
        <v>24</v>
      </c>
      <c r="T13" s="87">
        <v>25</v>
      </c>
      <c r="U13" s="87">
        <v>27</v>
      </c>
      <c r="V13" s="87">
        <v>28</v>
      </c>
      <c r="W13" s="87">
        <v>29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</row>
    <row r="14" spans="1:249" ht="12.75" customHeight="1">
      <c r="A14" s="1103" t="s">
        <v>240</v>
      </c>
      <c r="B14" s="1104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92"/>
      <c r="V14" s="93"/>
      <c r="W14" s="93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</row>
    <row r="15" spans="1:249">
      <c r="A15" s="94">
        <v>1</v>
      </c>
      <c r="B15" s="95" t="s">
        <v>122</v>
      </c>
      <c r="C15" s="330">
        <f>1136170*216*0.0001*3180/100000</f>
        <v>780.41244960000006</v>
      </c>
      <c r="D15" s="330">
        <v>0</v>
      </c>
      <c r="E15" s="330">
        <v>0</v>
      </c>
      <c r="F15" s="330">
        <v>0</v>
      </c>
      <c r="G15" s="330">
        <v>0</v>
      </c>
      <c r="H15" s="330">
        <v>0</v>
      </c>
      <c r="I15" s="330">
        <f t="shared" ref="I15:K19" si="0">C15+F15</f>
        <v>780.41244960000006</v>
      </c>
      <c r="J15" s="330">
        <f t="shared" si="0"/>
        <v>0</v>
      </c>
      <c r="K15" s="330">
        <f t="shared" si="0"/>
        <v>0</v>
      </c>
      <c r="L15" s="330">
        <f>(658398*216*0.00015*3180/100000)+(3008*285*0.00015*3180/100000)</f>
        <v>682.44985295999993</v>
      </c>
      <c r="M15" s="330">
        <v>0</v>
      </c>
      <c r="N15" s="330">
        <v>0</v>
      </c>
      <c r="O15" s="330">
        <v>0</v>
      </c>
      <c r="P15" s="330">
        <v>0</v>
      </c>
      <c r="Q15" s="330">
        <v>0</v>
      </c>
      <c r="R15" s="330">
        <f t="shared" ref="R15:T19" si="1">L15+O15</f>
        <v>682.44985295999993</v>
      </c>
      <c r="S15" s="330">
        <f t="shared" si="1"/>
        <v>0</v>
      </c>
      <c r="T15" s="330">
        <f t="shared" si="1"/>
        <v>0</v>
      </c>
      <c r="U15" s="330">
        <f>I15+R15</f>
        <v>1462.86230256</v>
      </c>
      <c r="V15" s="330">
        <f t="shared" ref="V15:V23" si="2">J15+S15</f>
        <v>0</v>
      </c>
      <c r="W15" s="330">
        <f t="shared" ref="W15:W23" si="3">K15+T15</f>
        <v>0</v>
      </c>
      <c r="X15" s="409"/>
    </row>
    <row r="16" spans="1:249">
      <c r="A16" s="94">
        <v>2</v>
      </c>
      <c r="B16" s="96" t="s">
        <v>473</v>
      </c>
      <c r="C16" s="330">
        <f>((1136170*216*2.98)/100000)*71.46%</f>
        <v>5226.0835054175996</v>
      </c>
      <c r="D16" s="330">
        <f>((1136170*216*2.98)/100000)*18.75%</f>
        <v>1371.243573</v>
      </c>
      <c r="E16" s="330">
        <f>((1136170*216*2.98)/100000)*9.79%</f>
        <v>715.97197758239986</v>
      </c>
      <c r="F16" s="330">
        <f>((1136170*216*1.99)/100000)*71.46%</f>
        <v>3489.9014012687999</v>
      </c>
      <c r="G16" s="330">
        <f>((1136170*216*1.99)/100000)*18.75%</f>
        <v>915.69621150000012</v>
      </c>
      <c r="H16" s="330">
        <f>((1136170*216*1.99)/100000)*9.79%</f>
        <v>478.11551523119999</v>
      </c>
      <c r="I16" s="330">
        <f>C16+F16</f>
        <v>8715.984906686399</v>
      </c>
      <c r="J16" s="330">
        <f t="shared" si="0"/>
        <v>2286.9397845000003</v>
      </c>
      <c r="K16" s="330">
        <f t="shared" si="0"/>
        <v>1194.0874928136</v>
      </c>
      <c r="L16" s="330">
        <f>(((658398*216*4.47)/100000)*71.46%)+(((3008*285*4.47)/100000)*71.46%)</f>
        <v>4570.0705077897583</v>
      </c>
      <c r="M16" s="330">
        <f>(((658398*216*4.47)/100000)*18.75%)+(((3008*285*4.47)/100000)*18.75%)</f>
        <v>1199.1158972999999</v>
      </c>
      <c r="N16" s="330">
        <f>(((658398*216*4.47)/100000)*9.79%)+(((3008*285*4.47)/100000)*9.79%)</f>
        <v>626.09838051023985</v>
      </c>
      <c r="O16" s="330">
        <f>(((658398*216*2.98)/100000)*71.46%)+(((3008*285*2.98)/100000)*71.46%)</f>
        <v>3046.7136718598395</v>
      </c>
      <c r="P16" s="330">
        <f>(((658398*216*2.98)/100000)*18.75%)+(((3008*285*2.98)/100000)*18.75%)</f>
        <v>799.41059819999987</v>
      </c>
      <c r="Q16" s="330">
        <f>(((658398*216*2.98)/100000)*9.79%)+(((3008*285*2.98)/100000)*9.79%)</f>
        <v>417.39892034015992</v>
      </c>
      <c r="R16" s="330">
        <f t="shared" si="1"/>
        <v>7616.7841796495977</v>
      </c>
      <c r="S16" s="330">
        <f t="shared" si="1"/>
        <v>1998.5264954999998</v>
      </c>
      <c r="T16" s="330">
        <f t="shared" si="1"/>
        <v>1043.4973008503998</v>
      </c>
      <c r="U16" s="330">
        <f t="shared" ref="U16:U23" si="4">I16+R16</f>
        <v>16332.769086335997</v>
      </c>
      <c r="V16" s="330">
        <f t="shared" si="2"/>
        <v>4285.4662800000006</v>
      </c>
      <c r="W16" s="330">
        <f t="shared" si="3"/>
        <v>2237.5847936639998</v>
      </c>
      <c r="X16" s="409"/>
    </row>
    <row r="17" spans="1:24" ht="25.5">
      <c r="A17" s="94">
        <v>3</v>
      </c>
      <c r="B17" s="96" t="s">
        <v>126</v>
      </c>
      <c r="C17" s="330">
        <f>((34516)*600*10/100000)*71.46%</f>
        <v>1479.9080159999999</v>
      </c>
      <c r="D17" s="330">
        <f>((34516)*600*10/100000)*18.75%</f>
        <v>388.30500000000001</v>
      </c>
      <c r="E17" s="330">
        <f>((34516)*600*10/100000)*9.79%</f>
        <v>202.74698399999997</v>
      </c>
      <c r="F17" s="330">
        <f>(34516*400*10/100000)*71.46%</f>
        <v>986.60534399999995</v>
      </c>
      <c r="G17" s="330">
        <f>((34516)*400*10/100000)*18.75%</f>
        <v>258.87</v>
      </c>
      <c r="H17" s="330">
        <f>((34516)*400*10/100000)*9.79%</f>
        <v>135.16465599999998</v>
      </c>
      <c r="I17" s="330">
        <f t="shared" si="0"/>
        <v>2466.5133599999999</v>
      </c>
      <c r="J17" s="330">
        <f t="shared" si="0"/>
        <v>647.17499999999995</v>
      </c>
      <c r="K17" s="330">
        <f t="shared" si="0"/>
        <v>337.91163999999992</v>
      </c>
      <c r="L17" s="330">
        <f>(((19716)*600)*10/100000)*71.46%</f>
        <v>845.34321599999987</v>
      </c>
      <c r="M17" s="330">
        <f>(((19716)*600)*10/100000)*18.75%</f>
        <v>221.80500000000001</v>
      </c>
      <c r="N17" s="330">
        <f>(((19716)*600*10)/100000)*9.79%</f>
        <v>115.81178399999999</v>
      </c>
      <c r="O17" s="330">
        <f>(((19716)*400)*10/100000)*71.46%</f>
        <v>563.56214399999988</v>
      </c>
      <c r="P17" s="330">
        <f>(((19716)*400)*10/100000)*18.75%</f>
        <v>147.87</v>
      </c>
      <c r="Q17" s="330">
        <f>(((19716)*400)*10/100000)*9.79%</f>
        <v>77.207855999999992</v>
      </c>
      <c r="R17" s="330">
        <f t="shared" si="1"/>
        <v>1408.9053599999997</v>
      </c>
      <c r="S17" s="330">
        <f t="shared" si="1"/>
        <v>369.67500000000001</v>
      </c>
      <c r="T17" s="330">
        <f t="shared" si="1"/>
        <v>193.01963999999998</v>
      </c>
      <c r="U17" s="330">
        <f t="shared" si="4"/>
        <v>3875.4187199999997</v>
      </c>
      <c r="V17" s="330">
        <f t="shared" si="2"/>
        <v>1016.8499999999999</v>
      </c>
      <c r="W17" s="330">
        <f t="shared" si="3"/>
        <v>530.9312799999999</v>
      </c>
      <c r="X17" s="409"/>
    </row>
    <row r="18" spans="1:24">
      <c r="A18" s="94">
        <v>4</v>
      </c>
      <c r="B18" s="96" t="s">
        <v>124</v>
      </c>
      <c r="C18" s="330">
        <f>1136170*216*0.0001*1113/100000</f>
        <v>273.14435736000001</v>
      </c>
      <c r="D18" s="330">
        <v>0</v>
      </c>
      <c r="E18" s="330">
        <v>0</v>
      </c>
      <c r="F18" s="330">
        <v>0</v>
      </c>
      <c r="G18" s="330">
        <v>0</v>
      </c>
      <c r="H18" s="330">
        <v>0</v>
      </c>
      <c r="I18" s="330">
        <f t="shared" si="0"/>
        <v>273.14435736000001</v>
      </c>
      <c r="J18" s="330">
        <f t="shared" si="0"/>
        <v>0</v>
      </c>
      <c r="K18" s="330">
        <f t="shared" si="0"/>
        <v>0</v>
      </c>
      <c r="L18" s="330">
        <f>(658398*216*0.00015*1113/100000)+(3008*285*0.00015*1113/100000)</f>
        <v>238.85744853600002</v>
      </c>
      <c r="M18" s="330">
        <v>0</v>
      </c>
      <c r="N18" s="330">
        <v>0</v>
      </c>
      <c r="O18" s="330">
        <v>0</v>
      </c>
      <c r="P18" s="330">
        <v>0</v>
      </c>
      <c r="Q18" s="330">
        <v>0</v>
      </c>
      <c r="R18" s="330">
        <f t="shared" si="1"/>
        <v>238.85744853600002</v>
      </c>
      <c r="S18" s="330">
        <f t="shared" si="1"/>
        <v>0</v>
      </c>
      <c r="T18" s="330">
        <f t="shared" si="1"/>
        <v>0</v>
      </c>
      <c r="U18" s="330">
        <f t="shared" si="4"/>
        <v>512.00180589600006</v>
      </c>
      <c r="V18" s="330">
        <f t="shared" si="2"/>
        <v>0</v>
      </c>
      <c r="W18" s="330">
        <f t="shared" si="3"/>
        <v>0</v>
      </c>
      <c r="X18" s="409"/>
    </row>
    <row r="19" spans="1:24">
      <c r="A19" s="94">
        <v>5</v>
      </c>
      <c r="B19" s="95" t="s">
        <v>125</v>
      </c>
      <c r="C19" s="330">
        <f>(SUM(C15:E18)*2.7%)</f>
        <v>281.82102829992004</v>
      </c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f t="shared" si="0"/>
        <v>281.82102829992004</v>
      </c>
      <c r="J19" s="330">
        <f t="shared" si="0"/>
        <v>0</v>
      </c>
      <c r="K19" s="330">
        <f t="shared" si="0"/>
        <v>0</v>
      </c>
      <c r="L19" s="330">
        <f>(SUM(L15:N18)*2.7%)</f>
        <v>229.48790635159199</v>
      </c>
      <c r="M19" s="330">
        <v>0</v>
      </c>
      <c r="N19" s="330">
        <v>0</v>
      </c>
      <c r="O19" s="330">
        <v>0</v>
      </c>
      <c r="P19" s="330">
        <v>0</v>
      </c>
      <c r="Q19" s="330">
        <v>0</v>
      </c>
      <c r="R19" s="330">
        <f t="shared" si="1"/>
        <v>229.48790635159199</v>
      </c>
      <c r="S19" s="330">
        <f t="shared" si="1"/>
        <v>0</v>
      </c>
      <c r="T19" s="330">
        <f t="shared" si="1"/>
        <v>0</v>
      </c>
      <c r="U19" s="330">
        <f t="shared" si="4"/>
        <v>511.308934651512</v>
      </c>
      <c r="V19" s="330">
        <f t="shared" si="2"/>
        <v>0</v>
      </c>
      <c r="W19" s="330">
        <f t="shared" si="3"/>
        <v>0</v>
      </c>
      <c r="X19" s="409"/>
    </row>
    <row r="20" spans="1:24" ht="12.75" customHeight="1">
      <c r="A20" s="1103" t="s">
        <v>241</v>
      </c>
      <c r="B20" s="110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330">
        <f t="shared" si="4"/>
        <v>0</v>
      </c>
      <c r="V20" s="330">
        <f t="shared" si="2"/>
        <v>0</v>
      </c>
      <c r="W20" s="330">
        <f t="shared" si="3"/>
        <v>0</v>
      </c>
      <c r="X20" s="409"/>
    </row>
    <row r="21" spans="1:24">
      <c r="A21" s="94">
        <v>6</v>
      </c>
      <c r="B21" s="95" t="s">
        <v>127</v>
      </c>
      <c r="C21" s="330">
        <v>0</v>
      </c>
      <c r="D21" s="330">
        <v>0</v>
      </c>
      <c r="E21" s="330">
        <v>0</v>
      </c>
      <c r="F21" s="330">
        <v>0</v>
      </c>
      <c r="G21" s="330">
        <v>0</v>
      </c>
      <c r="H21" s="330">
        <v>0</v>
      </c>
      <c r="I21" s="330">
        <f t="shared" ref="I21:J23" si="5">C21+F21</f>
        <v>0</v>
      </c>
      <c r="J21" s="330">
        <f t="shared" si="5"/>
        <v>0</v>
      </c>
      <c r="K21" s="330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0">
        <v>0</v>
      </c>
      <c r="R21" s="330">
        <f t="shared" ref="R21:T23" si="6">L21+O21</f>
        <v>0</v>
      </c>
      <c r="S21" s="330">
        <f t="shared" si="6"/>
        <v>0</v>
      </c>
      <c r="T21" s="330">
        <f t="shared" si="6"/>
        <v>0</v>
      </c>
      <c r="U21" s="330">
        <f t="shared" si="4"/>
        <v>0</v>
      </c>
      <c r="V21" s="330">
        <f t="shared" si="2"/>
        <v>0</v>
      </c>
      <c r="W21" s="330">
        <f t="shared" si="3"/>
        <v>0</v>
      </c>
      <c r="X21" s="409"/>
    </row>
    <row r="22" spans="1:24">
      <c r="A22" s="94">
        <v>7</v>
      </c>
      <c r="B22" s="95" t="s">
        <v>128</v>
      </c>
      <c r="C22" s="330">
        <v>0</v>
      </c>
      <c r="D22" s="330">
        <v>0</v>
      </c>
      <c r="E22" s="330">
        <v>0</v>
      </c>
      <c r="F22" s="330">
        <v>0</v>
      </c>
      <c r="G22" s="330">
        <v>0</v>
      </c>
      <c r="H22" s="330">
        <v>0</v>
      </c>
      <c r="I22" s="330">
        <f t="shared" si="5"/>
        <v>0</v>
      </c>
      <c r="J22" s="330">
        <f t="shared" si="5"/>
        <v>0</v>
      </c>
      <c r="K22" s="330">
        <f>E22+H22</f>
        <v>0</v>
      </c>
      <c r="L22" s="330">
        <f>'AT29_Replacement KD '!T45+'AT29_A_Replacement KD'!T45</f>
        <v>0</v>
      </c>
      <c r="M22" s="330">
        <v>0</v>
      </c>
      <c r="N22" s="330">
        <v>0</v>
      </c>
      <c r="O22" s="330">
        <f>'AT29_Replacement KD '!U45+'AT29_A_Replacement KD'!U45</f>
        <v>0</v>
      </c>
      <c r="P22" s="330">
        <v>0</v>
      </c>
      <c r="Q22" s="330">
        <v>0</v>
      </c>
      <c r="R22" s="330">
        <f t="shared" si="6"/>
        <v>0</v>
      </c>
      <c r="S22" s="330">
        <f t="shared" si="6"/>
        <v>0</v>
      </c>
      <c r="T22" s="330">
        <f t="shared" si="6"/>
        <v>0</v>
      </c>
      <c r="U22" s="330">
        <f t="shared" si="4"/>
        <v>0</v>
      </c>
      <c r="V22" s="330">
        <f t="shared" si="2"/>
        <v>0</v>
      </c>
      <c r="W22" s="330">
        <f t="shared" si="3"/>
        <v>0</v>
      </c>
      <c r="X22" s="409"/>
    </row>
    <row r="23" spans="1:24">
      <c r="A23" s="94">
        <v>8</v>
      </c>
      <c r="B23" s="95" t="s">
        <v>729</v>
      </c>
      <c r="C23" s="330">
        <v>0</v>
      </c>
      <c r="D23" s="330">
        <v>0</v>
      </c>
      <c r="E23" s="330">
        <v>0</v>
      </c>
      <c r="F23" s="330">
        <v>0</v>
      </c>
      <c r="G23" s="330">
        <v>0</v>
      </c>
      <c r="H23" s="330">
        <v>0</v>
      </c>
      <c r="I23" s="330">
        <f t="shared" si="5"/>
        <v>0</v>
      </c>
      <c r="J23" s="330">
        <f t="shared" si="5"/>
        <v>0</v>
      </c>
      <c r="K23" s="330">
        <f>E23+H23</f>
        <v>0</v>
      </c>
      <c r="L23" s="330">
        <v>0</v>
      </c>
      <c r="M23" s="330">
        <v>0</v>
      </c>
      <c r="N23" s="330">
        <v>0</v>
      </c>
      <c r="O23" s="330">
        <v>0</v>
      </c>
      <c r="P23" s="330">
        <v>0</v>
      </c>
      <c r="Q23" s="330">
        <v>0</v>
      </c>
      <c r="R23" s="330">
        <f t="shared" si="6"/>
        <v>0</v>
      </c>
      <c r="S23" s="330">
        <f t="shared" si="6"/>
        <v>0</v>
      </c>
      <c r="T23" s="330">
        <f t="shared" si="6"/>
        <v>0</v>
      </c>
      <c r="U23" s="330">
        <f t="shared" si="4"/>
        <v>0</v>
      </c>
      <c r="V23" s="330">
        <f t="shared" si="2"/>
        <v>0</v>
      </c>
      <c r="W23" s="330">
        <f t="shared" si="3"/>
        <v>0</v>
      </c>
      <c r="X23" s="409"/>
    </row>
    <row r="24" spans="1:24">
      <c r="A24" s="94"/>
      <c r="B24" s="95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409"/>
    </row>
    <row r="25" spans="1:24">
      <c r="A25" s="94">
        <v>9</v>
      </c>
      <c r="B25" s="95" t="s">
        <v>730</v>
      </c>
      <c r="C25" s="330">
        <f>(C15+C16+C17+C18+C19+C21+C22)*5%</f>
        <v>402.06846783387601</v>
      </c>
      <c r="D25" s="330">
        <f t="shared" ref="D25:W25" si="7">(D15+D16+D17+D18+D19+D21+D22)*5%</f>
        <v>87.977428650000007</v>
      </c>
      <c r="E25" s="330">
        <f t="shared" si="7"/>
        <v>45.935948079119996</v>
      </c>
      <c r="F25" s="330">
        <f t="shared" si="7"/>
        <v>223.82533726344002</v>
      </c>
      <c r="G25" s="330">
        <f t="shared" si="7"/>
        <v>58.728310575000002</v>
      </c>
      <c r="H25" s="330">
        <f t="shared" si="7"/>
        <v>30.664008561560003</v>
      </c>
      <c r="I25" s="330">
        <f t="shared" si="7"/>
        <v>625.89380509731609</v>
      </c>
      <c r="J25" s="330">
        <f t="shared" si="7"/>
        <v>146.70573922500003</v>
      </c>
      <c r="K25" s="330">
        <f t="shared" si="7"/>
        <v>76.599956640679991</v>
      </c>
      <c r="L25" s="330">
        <f t="shared" si="7"/>
        <v>328.31044658186755</v>
      </c>
      <c r="M25" s="330">
        <f t="shared" si="7"/>
        <v>71.046044864999999</v>
      </c>
      <c r="N25" s="330">
        <f t="shared" si="7"/>
        <v>37.095508225511992</v>
      </c>
      <c r="O25" s="330">
        <f t="shared" si="7"/>
        <v>180.51379079299198</v>
      </c>
      <c r="P25" s="330">
        <f t="shared" si="7"/>
        <v>47.364029909999999</v>
      </c>
      <c r="Q25" s="330">
        <f t="shared" si="7"/>
        <v>24.730338817007997</v>
      </c>
      <c r="R25" s="330">
        <f t="shared" si="7"/>
        <v>508.82423737485965</v>
      </c>
      <c r="S25" s="330">
        <f t="shared" si="7"/>
        <v>118.410074775</v>
      </c>
      <c r="T25" s="330">
        <f t="shared" si="7"/>
        <v>61.825847042519996</v>
      </c>
      <c r="U25" s="330">
        <f t="shared" si="7"/>
        <v>1134.7180424721753</v>
      </c>
      <c r="V25" s="330">
        <f t="shared" si="7"/>
        <v>265.11581400000006</v>
      </c>
      <c r="W25" s="330">
        <f t="shared" si="7"/>
        <v>138.42580368319997</v>
      </c>
      <c r="X25" s="409"/>
    </row>
    <row r="26" spans="1:24">
      <c r="A26" s="94" t="s">
        <v>16</v>
      </c>
      <c r="B26" s="95"/>
      <c r="C26" s="331">
        <f t="shared" ref="C26:T26" si="8">SUM(C15:C23)</f>
        <v>8041.36935667752</v>
      </c>
      <c r="D26" s="331">
        <f t="shared" si="8"/>
        <v>1759.548573</v>
      </c>
      <c r="E26" s="331">
        <f t="shared" si="8"/>
        <v>918.71896158239986</v>
      </c>
      <c r="F26" s="331">
        <f t="shared" si="8"/>
        <v>4476.5067452687999</v>
      </c>
      <c r="G26" s="331">
        <f t="shared" si="8"/>
        <v>1174.5662115</v>
      </c>
      <c r="H26" s="331">
        <f t="shared" si="8"/>
        <v>613.28017123120003</v>
      </c>
      <c r="I26" s="331">
        <f>SUM(I15:I23)</f>
        <v>12517.87610194632</v>
      </c>
      <c r="J26" s="331">
        <f t="shared" si="8"/>
        <v>2934.1147845000005</v>
      </c>
      <c r="K26" s="331">
        <f t="shared" si="8"/>
        <v>1531.9991328135998</v>
      </c>
      <c r="L26" s="331">
        <f t="shared" si="8"/>
        <v>6566.2089316373504</v>
      </c>
      <c r="M26" s="331">
        <f t="shared" si="8"/>
        <v>1420.9208973</v>
      </c>
      <c r="N26" s="331">
        <f t="shared" si="8"/>
        <v>741.91016451023984</v>
      </c>
      <c r="O26" s="331">
        <f t="shared" si="8"/>
        <v>3610.2758158598394</v>
      </c>
      <c r="P26" s="331">
        <f t="shared" si="8"/>
        <v>947.28059819999987</v>
      </c>
      <c r="Q26" s="331">
        <f t="shared" si="8"/>
        <v>494.60677634015991</v>
      </c>
      <c r="R26" s="331">
        <f t="shared" si="8"/>
        <v>10176.484747497192</v>
      </c>
      <c r="S26" s="331">
        <f t="shared" si="8"/>
        <v>2368.2014955</v>
      </c>
      <c r="T26" s="331">
        <f t="shared" si="8"/>
        <v>1236.5169408503998</v>
      </c>
      <c r="U26" s="331">
        <f>SUM(U15:U25)</f>
        <v>23829.07889191568</v>
      </c>
      <c r="V26" s="331">
        <f t="shared" ref="V26:W26" si="9">SUM(V15:V25)</f>
        <v>5567.4320940000007</v>
      </c>
      <c r="W26" s="331">
        <f t="shared" si="9"/>
        <v>2906.9418773471994</v>
      </c>
      <c r="X26" s="657"/>
    </row>
    <row r="27" spans="1:24">
      <c r="A27" s="246"/>
      <c r="B27" s="246"/>
    </row>
    <row r="28" spans="1:24">
      <c r="A28" s="246"/>
      <c r="B28" s="246"/>
    </row>
    <row r="29" spans="1:24">
      <c r="A29" s="246"/>
      <c r="B29" s="246"/>
    </row>
    <row r="30" spans="1:24">
      <c r="A30" s="246"/>
      <c r="B30" s="246"/>
    </row>
    <row r="31" spans="1:24">
      <c r="A31" s="246"/>
      <c r="B31" s="246"/>
    </row>
    <row r="35" spans="19:23">
      <c r="S35" s="1099" t="s">
        <v>908</v>
      </c>
      <c r="T35" s="1099"/>
      <c r="U35" s="1099"/>
      <c r="V35" s="1099"/>
      <c r="W35" s="1099"/>
    </row>
    <row r="36" spans="19:23">
      <c r="S36" s="1099" t="s">
        <v>712</v>
      </c>
      <c r="T36" s="1099"/>
      <c r="U36" s="1099"/>
      <c r="V36" s="1099"/>
      <c r="W36" s="1099"/>
    </row>
  </sheetData>
  <mergeCells count="21">
    <mergeCell ref="O1:U1"/>
    <mergeCell ref="A8:B8"/>
    <mergeCell ref="C11:E11"/>
    <mergeCell ref="F11:H11"/>
    <mergeCell ref="I11:K11"/>
    <mergeCell ref="L11:N11"/>
    <mergeCell ref="L10:T10"/>
    <mergeCell ref="U10:W11"/>
    <mergeCell ref="R11:T11"/>
    <mergeCell ref="O11:Q11"/>
    <mergeCell ref="V9:W9"/>
    <mergeCell ref="A2:W2"/>
    <mergeCell ref="A4:W4"/>
    <mergeCell ref="A6:W6"/>
    <mergeCell ref="A10:A11"/>
    <mergeCell ref="B10:B11"/>
    <mergeCell ref="S35:W35"/>
    <mergeCell ref="S36:W36"/>
    <mergeCell ref="C10:K10"/>
    <mergeCell ref="A20:B20"/>
    <mergeCell ref="A14:B14"/>
  </mergeCells>
  <printOptions horizontalCentered="1"/>
  <pageMargins left="0.4" right="0.44" top="0.54" bottom="0" header="0.31496062992125984" footer="0.31496062992125984"/>
  <pageSetup paperSize="9" scale="67" orientation="landscape" r:id="rId1"/>
  <colBreaks count="1" manualBreakCount="1">
    <brk id="23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topLeftCell="A12" zoomScale="78" zoomScaleNormal="70" zoomScaleSheetLayoutView="78" workbookViewId="0">
      <selection activeCell="M29" sqref="M29"/>
    </sheetView>
  </sheetViews>
  <sheetFormatPr defaultColWidth="9.140625" defaultRowHeight="12.75"/>
  <cols>
    <col min="1" max="1" width="7.42578125" style="198" customWidth="1"/>
    <col min="2" max="2" width="17.140625" style="198" customWidth="1"/>
    <col min="3" max="3" width="11" style="198" customWidth="1"/>
    <col min="4" max="4" width="10" style="198" customWidth="1"/>
    <col min="5" max="5" width="11.85546875" style="198" customWidth="1"/>
    <col min="6" max="6" width="12.140625" style="198" customWidth="1"/>
    <col min="7" max="7" width="13.28515625" style="198" customWidth="1"/>
    <col min="8" max="8" width="14.5703125" style="198" customWidth="1"/>
    <col min="9" max="9" width="12.7109375" style="198" customWidth="1"/>
    <col min="10" max="10" width="14" style="198" customWidth="1"/>
    <col min="11" max="11" width="10.85546875" style="198" customWidth="1"/>
    <col min="12" max="12" width="10.7109375" style="198" customWidth="1"/>
    <col min="13" max="16384" width="9.140625" style="198"/>
  </cols>
  <sheetData>
    <row r="1" spans="1:16">
      <c r="E1" s="1121"/>
      <c r="F1" s="1121"/>
      <c r="G1" s="1121"/>
      <c r="H1" s="1121"/>
      <c r="I1" s="1121"/>
      <c r="J1" s="138" t="s">
        <v>581</v>
      </c>
    </row>
    <row r="2" spans="1:16" ht="15">
      <c r="A2" s="1124" t="s">
        <v>0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</row>
    <row r="3" spans="1:16" ht="20.25">
      <c r="A3" s="763" t="s">
        <v>737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</row>
    <row r="4" spans="1:16" ht="14.25" customHeight="1"/>
    <row r="5" spans="1:16" ht="19.5" customHeight="1">
      <c r="A5" s="1123" t="s">
        <v>801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</row>
    <row r="6" spans="1:16" ht="13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6" ht="0.75" customHeight="1"/>
    <row r="8" spans="1:16">
      <c r="A8" s="1122" t="s">
        <v>661</v>
      </c>
      <c r="B8" s="1122"/>
      <c r="C8" s="197"/>
      <c r="H8" s="784" t="s">
        <v>802</v>
      </c>
      <c r="I8" s="784"/>
      <c r="J8" s="784"/>
    </row>
    <row r="9" spans="1:16">
      <c r="A9" s="943" t="s">
        <v>2</v>
      </c>
      <c r="B9" s="935" t="s">
        <v>33</v>
      </c>
      <c r="C9" s="1126" t="s">
        <v>582</v>
      </c>
      <c r="D9" s="1126"/>
      <c r="E9" s="1126" t="s">
        <v>123</v>
      </c>
      <c r="F9" s="1126"/>
      <c r="G9" s="1126" t="s">
        <v>583</v>
      </c>
      <c r="H9" s="1126"/>
      <c r="I9" s="1126" t="s">
        <v>124</v>
      </c>
      <c r="J9" s="1126"/>
      <c r="K9" s="1126" t="s">
        <v>125</v>
      </c>
      <c r="L9" s="1126"/>
      <c r="O9" s="139"/>
      <c r="P9" s="140"/>
    </row>
    <row r="10" spans="1:16" ht="53.25" customHeight="1">
      <c r="A10" s="944"/>
      <c r="B10" s="935"/>
      <c r="C10" s="184" t="s">
        <v>584</v>
      </c>
      <c r="D10" s="184" t="s">
        <v>585</v>
      </c>
      <c r="E10" s="184" t="s">
        <v>586</v>
      </c>
      <c r="F10" s="184" t="s">
        <v>587</v>
      </c>
      <c r="G10" s="184" t="s">
        <v>586</v>
      </c>
      <c r="H10" s="184" t="s">
        <v>587</v>
      </c>
      <c r="I10" s="184" t="s">
        <v>584</v>
      </c>
      <c r="J10" s="184" t="s">
        <v>585</v>
      </c>
      <c r="K10" s="184" t="s">
        <v>584</v>
      </c>
      <c r="L10" s="184" t="s">
        <v>585</v>
      </c>
    </row>
    <row r="11" spans="1:16">
      <c r="A11" s="425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</row>
    <row r="12" spans="1:16">
      <c r="A12" s="204">
        <v>1</v>
      </c>
      <c r="B12" s="204" t="s">
        <v>624</v>
      </c>
      <c r="C12" s="1127" t="s">
        <v>629</v>
      </c>
      <c r="D12" s="1128"/>
      <c r="E12" s="1128"/>
      <c r="F12" s="1128"/>
      <c r="G12" s="1128"/>
      <c r="H12" s="1128"/>
      <c r="I12" s="1128"/>
      <c r="J12" s="1128"/>
      <c r="K12" s="1128"/>
      <c r="L12" s="1129"/>
    </row>
    <row r="13" spans="1:16">
      <c r="A13" s="204">
        <f>A12+1</f>
        <v>2</v>
      </c>
      <c r="B13" s="204" t="s">
        <v>589</v>
      </c>
      <c r="C13" s="1130"/>
      <c r="D13" s="1131"/>
      <c r="E13" s="1131"/>
      <c r="F13" s="1131"/>
      <c r="G13" s="1131"/>
      <c r="H13" s="1131"/>
      <c r="I13" s="1131"/>
      <c r="J13" s="1131"/>
      <c r="K13" s="1131"/>
      <c r="L13" s="1132"/>
    </row>
    <row r="14" spans="1:16">
      <c r="A14" s="204">
        <f t="shared" ref="A14:A44" si="0">A13+1</f>
        <v>3</v>
      </c>
      <c r="B14" s="204" t="s">
        <v>625</v>
      </c>
      <c r="C14" s="1130"/>
      <c r="D14" s="1131"/>
      <c r="E14" s="1131"/>
      <c r="F14" s="1131"/>
      <c r="G14" s="1131"/>
      <c r="H14" s="1131"/>
      <c r="I14" s="1131"/>
      <c r="J14" s="1131"/>
      <c r="K14" s="1131"/>
      <c r="L14" s="1132"/>
    </row>
    <row r="15" spans="1:16">
      <c r="A15" s="204">
        <f t="shared" si="0"/>
        <v>4</v>
      </c>
      <c r="B15" s="204" t="s">
        <v>590</v>
      </c>
      <c r="C15" s="1130"/>
      <c r="D15" s="1131"/>
      <c r="E15" s="1131"/>
      <c r="F15" s="1131"/>
      <c r="G15" s="1131"/>
      <c r="H15" s="1131"/>
      <c r="I15" s="1131"/>
      <c r="J15" s="1131"/>
      <c r="K15" s="1131"/>
      <c r="L15" s="1132"/>
    </row>
    <row r="16" spans="1:16">
      <c r="A16" s="204">
        <f t="shared" si="0"/>
        <v>5</v>
      </c>
      <c r="B16" s="204" t="s">
        <v>591</v>
      </c>
      <c r="C16" s="1130"/>
      <c r="D16" s="1131"/>
      <c r="E16" s="1131"/>
      <c r="F16" s="1131"/>
      <c r="G16" s="1131"/>
      <c r="H16" s="1131"/>
      <c r="I16" s="1131"/>
      <c r="J16" s="1131"/>
      <c r="K16" s="1131"/>
      <c r="L16" s="1132"/>
    </row>
    <row r="17" spans="1:12">
      <c r="A17" s="204">
        <f t="shared" si="0"/>
        <v>6</v>
      </c>
      <c r="B17" s="204" t="s">
        <v>592</v>
      </c>
      <c r="C17" s="1130"/>
      <c r="D17" s="1131"/>
      <c r="E17" s="1131"/>
      <c r="F17" s="1131"/>
      <c r="G17" s="1131"/>
      <c r="H17" s="1131"/>
      <c r="I17" s="1131"/>
      <c r="J17" s="1131"/>
      <c r="K17" s="1131"/>
      <c r="L17" s="1132"/>
    </row>
    <row r="18" spans="1:12">
      <c r="A18" s="204">
        <f t="shared" si="0"/>
        <v>7</v>
      </c>
      <c r="B18" s="204" t="s">
        <v>593</v>
      </c>
      <c r="C18" s="1130"/>
      <c r="D18" s="1131"/>
      <c r="E18" s="1131"/>
      <c r="F18" s="1131"/>
      <c r="G18" s="1131"/>
      <c r="H18" s="1131"/>
      <c r="I18" s="1131"/>
      <c r="J18" s="1131"/>
      <c r="K18" s="1131"/>
      <c r="L18" s="1132"/>
    </row>
    <row r="19" spans="1:12">
      <c r="A19" s="204">
        <f t="shared" si="0"/>
        <v>8</v>
      </c>
      <c r="B19" s="204" t="s">
        <v>594</v>
      </c>
      <c r="C19" s="1130"/>
      <c r="D19" s="1131"/>
      <c r="E19" s="1131"/>
      <c r="F19" s="1131"/>
      <c r="G19" s="1131"/>
      <c r="H19" s="1131"/>
      <c r="I19" s="1131"/>
      <c r="J19" s="1131"/>
      <c r="K19" s="1131"/>
      <c r="L19" s="1132"/>
    </row>
    <row r="20" spans="1:12">
      <c r="A20" s="204">
        <f t="shared" si="0"/>
        <v>9</v>
      </c>
      <c r="B20" s="204" t="s">
        <v>595</v>
      </c>
      <c r="C20" s="1130"/>
      <c r="D20" s="1131"/>
      <c r="E20" s="1131"/>
      <c r="F20" s="1131"/>
      <c r="G20" s="1131"/>
      <c r="H20" s="1131"/>
      <c r="I20" s="1131"/>
      <c r="J20" s="1131"/>
      <c r="K20" s="1131"/>
      <c r="L20" s="1132"/>
    </row>
    <row r="21" spans="1:12">
      <c r="A21" s="204">
        <f t="shared" si="0"/>
        <v>10</v>
      </c>
      <c r="B21" s="204" t="s">
        <v>596</v>
      </c>
      <c r="C21" s="1130"/>
      <c r="D21" s="1131"/>
      <c r="E21" s="1131"/>
      <c r="F21" s="1131"/>
      <c r="G21" s="1131"/>
      <c r="H21" s="1131"/>
      <c r="I21" s="1131"/>
      <c r="J21" s="1131"/>
      <c r="K21" s="1131"/>
      <c r="L21" s="1132"/>
    </row>
    <row r="22" spans="1:12">
      <c r="A22" s="204">
        <f t="shared" si="0"/>
        <v>11</v>
      </c>
      <c r="B22" s="204" t="s">
        <v>626</v>
      </c>
      <c r="C22" s="1130"/>
      <c r="D22" s="1131"/>
      <c r="E22" s="1131"/>
      <c r="F22" s="1131"/>
      <c r="G22" s="1131"/>
      <c r="H22" s="1131"/>
      <c r="I22" s="1131"/>
      <c r="J22" s="1131"/>
      <c r="K22" s="1131"/>
      <c r="L22" s="1132"/>
    </row>
    <row r="23" spans="1:12">
      <c r="A23" s="204">
        <f t="shared" si="0"/>
        <v>12</v>
      </c>
      <c r="B23" s="204" t="s">
        <v>597</v>
      </c>
      <c r="C23" s="1130"/>
      <c r="D23" s="1131"/>
      <c r="E23" s="1131"/>
      <c r="F23" s="1131"/>
      <c r="G23" s="1131"/>
      <c r="H23" s="1131"/>
      <c r="I23" s="1131"/>
      <c r="J23" s="1131"/>
      <c r="K23" s="1131"/>
      <c r="L23" s="1132"/>
    </row>
    <row r="24" spans="1:12" ht="12.75" customHeight="1">
      <c r="A24" s="204">
        <f t="shared" si="0"/>
        <v>13</v>
      </c>
      <c r="B24" s="204" t="s">
        <v>598</v>
      </c>
      <c r="C24" s="1130"/>
      <c r="D24" s="1131"/>
      <c r="E24" s="1131"/>
      <c r="F24" s="1131"/>
      <c r="G24" s="1131"/>
      <c r="H24" s="1131"/>
      <c r="I24" s="1131"/>
      <c r="J24" s="1131"/>
      <c r="K24" s="1131"/>
      <c r="L24" s="1132"/>
    </row>
    <row r="25" spans="1:12">
      <c r="A25" s="204">
        <f t="shared" si="0"/>
        <v>14</v>
      </c>
      <c r="B25" s="204" t="s">
        <v>627</v>
      </c>
      <c r="C25" s="1130"/>
      <c r="D25" s="1131"/>
      <c r="E25" s="1131"/>
      <c r="F25" s="1131"/>
      <c r="G25" s="1131"/>
      <c r="H25" s="1131"/>
      <c r="I25" s="1131"/>
      <c r="J25" s="1131"/>
      <c r="K25" s="1131"/>
      <c r="L25" s="1132"/>
    </row>
    <row r="26" spans="1:12">
      <c r="A26" s="204">
        <f t="shared" si="0"/>
        <v>15</v>
      </c>
      <c r="B26" s="204" t="s">
        <v>599</v>
      </c>
      <c r="C26" s="1130"/>
      <c r="D26" s="1131"/>
      <c r="E26" s="1131"/>
      <c r="F26" s="1131"/>
      <c r="G26" s="1131"/>
      <c r="H26" s="1131"/>
      <c r="I26" s="1131"/>
      <c r="J26" s="1131"/>
      <c r="K26" s="1131"/>
      <c r="L26" s="1132"/>
    </row>
    <row r="27" spans="1:12">
      <c r="A27" s="204">
        <f t="shared" si="0"/>
        <v>16</v>
      </c>
      <c r="B27" s="204" t="s">
        <v>600</v>
      </c>
      <c r="C27" s="1130"/>
      <c r="D27" s="1131"/>
      <c r="E27" s="1131"/>
      <c r="F27" s="1131"/>
      <c r="G27" s="1131"/>
      <c r="H27" s="1131"/>
      <c r="I27" s="1131"/>
      <c r="J27" s="1131"/>
      <c r="K27" s="1131"/>
      <c r="L27" s="1132"/>
    </row>
    <row r="28" spans="1:12" s="427" customFormat="1">
      <c r="A28" s="204">
        <f t="shared" si="0"/>
        <v>17</v>
      </c>
      <c r="B28" s="426" t="s">
        <v>684</v>
      </c>
      <c r="C28" s="1130"/>
      <c r="D28" s="1131"/>
      <c r="E28" s="1131"/>
      <c r="F28" s="1131"/>
      <c r="G28" s="1131"/>
      <c r="H28" s="1131"/>
      <c r="I28" s="1131"/>
      <c r="J28" s="1131"/>
      <c r="K28" s="1131"/>
      <c r="L28" s="1132"/>
    </row>
    <row r="29" spans="1:12">
      <c r="A29" s="204">
        <f t="shared" si="0"/>
        <v>18</v>
      </c>
      <c r="B29" s="204" t="s">
        <v>601</v>
      </c>
      <c r="C29" s="1130"/>
      <c r="D29" s="1131"/>
      <c r="E29" s="1131"/>
      <c r="F29" s="1131"/>
      <c r="G29" s="1131"/>
      <c r="H29" s="1131"/>
      <c r="I29" s="1131"/>
      <c r="J29" s="1131"/>
      <c r="K29" s="1131"/>
      <c r="L29" s="1132"/>
    </row>
    <row r="30" spans="1:12">
      <c r="A30" s="204">
        <f t="shared" si="0"/>
        <v>19</v>
      </c>
      <c r="B30" s="204" t="s">
        <v>602</v>
      </c>
      <c r="C30" s="1130"/>
      <c r="D30" s="1131"/>
      <c r="E30" s="1131"/>
      <c r="F30" s="1131"/>
      <c r="G30" s="1131"/>
      <c r="H30" s="1131"/>
      <c r="I30" s="1131"/>
      <c r="J30" s="1131"/>
      <c r="K30" s="1131"/>
      <c r="L30" s="1132"/>
    </row>
    <row r="31" spans="1:12" s="427" customFormat="1">
      <c r="A31" s="204">
        <f t="shared" si="0"/>
        <v>20</v>
      </c>
      <c r="B31" s="426" t="s">
        <v>683</v>
      </c>
      <c r="C31" s="1130"/>
      <c r="D31" s="1131"/>
      <c r="E31" s="1131"/>
      <c r="F31" s="1131"/>
      <c r="G31" s="1131"/>
      <c r="H31" s="1131"/>
      <c r="I31" s="1131"/>
      <c r="J31" s="1131"/>
      <c r="K31" s="1131"/>
      <c r="L31" s="1132"/>
    </row>
    <row r="32" spans="1:12">
      <c r="A32" s="204">
        <f t="shared" si="0"/>
        <v>21</v>
      </c>
      <c r="B32" s="204" t="s">
        <v>628</v>
      </c>
      <c r="C32" s="1130"/>
      <c r="D32" s="1131"/>
      <c r="E32" s="1131"/>
      <c r="F32" s="1131"/>
      <c r="G32" s="1131"/>
      <c r="H32" s="1131"/>
      <c r="I32" s="1131"/>
      <c r="J32" s="1131"/>
      <c r="K32" s="1131"/>
      <c r="L32" s="1132"/>
    </row>
    <row r="33" spans="1:12">
      <c r="A33" s="204">
        <f t="shared" si="0"/>
        <v>22</v>
      </c>
      <c r="B33" s="204" t="s">
        <v>603</v>
      </c>
      <c r="C33" s="1130"/>
      <c r="D33" s="1131"/>
      <c r="E33" s="1131"/>
      <c r="F33" s="1131"/>
      <c r="G33" s="1131"/>
      <c r="H33" s="1131"/>
      <c r="I33" s="1131"/>
      <c r="J33" s="1131"/>
      <c r="K33" s="1131"/>
      <c r="L33" s="1132"/>
    </row>
    <row r="34" spans="1:12">
      <c r="A34" s="204">
        <f t="shared" si="0"/>
        <v>23</v>
      </c>
      <c r="B34" s="204" t="s">
        <v>604</v>
      </c>
      <c r="C34" s="1130"/>
      <c r="D34" s="1131"/>
      <c r="E34" s="1131"/>
      <c r="F34" s="1131"/>
      <c r="G34" s="1131"/>
      <c r="H34" s="1131"/>
      <c r="I34" s="1131"/>
      <c r="J34" s="1131"/>
      <c r="K34" s="1131"/>
      <c r="L34" s="1132"/>
    </row>
    <row r="35" spans="1:12">
      <c r="A35" s="204">
        <f t="shared" si="0"/>
        <v>24</v>
      </c>
      <c r="B35" s="204" t="s">
        <v>605</v>
      </c>
      <c r="C35" s="1130"/>
      <c r="D35" s="1131"/>
      <c r="E35" s="1131"/>
      <c r="F35" s="1131"/>
      <c r="G35" s="1131"/>
      <c r="H35" s="1131"/>
      <c r="I35" s="1131"/>
      <c r="J35" s="1131"/>
      <c r="K35" s="1131"/>
      <c r="L35" s="1132"/>
    </row>
    <row r="36" spans="1:12">
      <c r="A36" s="204">
        <f t="shared" si="0"/>
        <v>25</v>
      </c>
      <c r="B36" s="204" t="s">
        <v>606</v>
      </c>
      <c r="C36" s="1130"/>
      <c r="D36" s="1131"/>
      <c r="E36" s="1131"/>
      <c r="F36" s="1131"/>
      <c r="G36" s="1131"/>
      <c r="H36" s="1131"/>
      <c r="I36" s="1131"/>
      <c r="J36" s="1131"/>
      <c r="K36" s="1131"/>
      <c r="L36" s="1132"/>
    </row>
    <row r="37" spans="1:12">
      <c r="A37" s="204">
        <f t="shared" si="0"/>
        <v>26</v>
      </c>
      <c r="B37" s="204" t="s">
        <v>607</v>
      </c>
      <c r="C37" s="1130"/>
      <c r="D37" s="1131"/>
      <c r="E37" s="1131"/>
      <c r="F37" s="1131"/>
      <c r="G37" s="1131"/>
      <c r="H37" s="1131"/>
      <c r="I37" s="1131"/>
      <c r="J37" s="1131"/>
      <c r="K37" s="1131"/>
      <c r="L37" s="1132"/>
    </row>
    <row r="38" spans="1:12">
      <c r="A38" s="204">
        <f t="shared" si="0"/>
        <v>27</v>
      </c>
      <c r="B38" s="204" t="s">
        <v>608</v>
      </c>
      <c r="C38" s="1130"/>
      <c r="D38" s="1131"/>
      <c r="E38" s="1131"/>
      <c r="F38" s="1131"/>
      <c r="G38" s="1131"/>
      <c r="H38" s="1131"/>
      <c r="I38" s="1131"/>
      <c r="J38" s="1131"/>
      <c r="K38" s="1131"/>
      <c r="L38" s="1132"/>
    </row>
    <row r="39" spans="1:12">
      <c r="A39" s="204">
        <f t="shared" si="0"/>
        <v>28</v>
      </c>
      <c r="B39" s="204" t="s">
        <v>609</v>
      </c>
      <c r="C39" s="1130"/>
      <c r="D39" s="1131"/>
      <c r="E39" s="1131"/>
      <c r="F39" s="1131"/>
      <c r="G39" s="1131"/>
      <c r="H39" s="1131"/>
      <c r="I39" s="1131"/>
      <c r="J39" s="1131"/>
      <c r="K39" s="1131"/>
      <c r="L39" s="1132"/>
    </row>
    <row r="40" spans="1:12">
      <c r="A40" s="204">
        <f t="shared" si="0"/>
        <v>29</v>
      </c>
      <c r="B40" s="204" t="s">
        <v>610</v>
      </c>
      <c r="C40" s="1130"/>
      <c r="D40" s="1131"/>
      <c r="E40" s="1131"/>
      <c r="F40" s="1131"/>
      <c r="G40" s="1131"/>
      <c r="H40" s="1131"/>
      <c r="I40" s="1131"/>
      <c r="J40" s="1131"/>
      <c r="K40" s="1131"/>
      <c r="L40" s="1132"/>
    </row>
    <row r="41" spans="1:12">
      <c r="A41" s="204">
        <f t="shared" si="0"/>
        <v>30</v>
      </c>
      <c r="B41" s="143" t="s">
        <v>611</v>
      </c>
      <c r="C41" s="1130"/>
      <c r="D41" s="1131"/>
      <c r="E41" s="1131"/>
      <c r="F41" s="1131"/>
      <c r="G41" s="1131"/>
      <c r="H41" s="1131"/>
      <c r="I41" s="1131"/>
      <c r="J41" s="1131"/>
      <c r="K41" s="1131"/>
      <c r="L41" s="1132"/>
    </row>
    <row r="42" spans="1:12">
      <c r="A42" s="204">
        <f t="shared" si="0"/>
        <v>31</v>
      </c>
      <c r="B42" s="143" t="s">
        <v>612</v>
      </c>
      <c r="C42" s="1130"/>
      <c r="D42" s="1131"/>
      <c r="E42" s="1131"/>
      <c r="F42" s="1131"/>
      <c r="G42" s="1131"/>
      <c r="H42" s="1131"/>
      <c r="I42" s="1131"/>
      <c r="J42" s="1131"/>
      <c r="K42" s="1131"/>
      <c r="L42" s="1132"/>
    </row>
    <row r="43" spans="1:12">
      <c r="A43" s="204">
        <f t="shared" si="0"/>
        <v>32</v>
      </c>
      <c r="B43" s="143" t="s">
        <v>613</v>
      </c>
      <c r="C43" s="1130"/>
      <c r="D43" s="1131"/>
      <c r="E43" s="1131"/>
      <c r="F43" s="1131"/>
      <c r="G43" s="1131"/>
      <c r="H43" s="1131"/>
      <c r="I43" s="1131"/>
      <c r="J43" s="1131"/>
      <c r="K43" s="1131"/>
      <c r="L43" s="1132"/>
    </row>
    <row r="44" spans="1:12">
      <c r="A44" s="204">
        <f t="shared" si="0"/>
        <v>33</v>
      </c>
      <c r="B44" s="143" t="s">
        <v>614</v>
      </c>
      <c r="C44" s="1130"/>
      <c r="D44" s="1131"/>
      <c r="E44" s="1131"/>
      <c r="F44" s="1131"/>
      <c r="G44" s="1131"/>
      <c r="H44" s="1131"/>
      <c r="I44" s="1131"/>
      <c r="J44" s="1131"/>
      <c r="K44" s="1131"/>
      <c r="L44" s="1132"/>
    </row>
    <row r="45" spans="1:12">
      <c r="A45" s="151"/>
      <c r="B45" s="151" t="s">
        <v>615</v>
      </c>
      <c r="C45" s="1133"/>
      <c r="D45" s="1134"/>
      <c r="E45" s="1134"/>
      <c r="F45" s="1134"/>
      <c r="G45" s="1134"/>
      <c r="H45" s="1134"/>
      <c r="I45" s="1134"/>
      <c r="J45" s="1134"/>
      <c r="K45" s="1134"/>
      <c r="L45" s="1135"/>
    </row>
    <row r="46" spans="1:12">
      <c r="A46" s="43"/>
      <c r="B46" s="59"/>
      <c r="C46" s="59"/>
      <c r="D46" s="140"/>
      <c r="E46" s="140"/>
      <c r="F46" s="140"/>
      <c r="G46" s="140"/>
      <c r="H46" s="140"/>
      <c r="I46" s="140"/>
      <c r="J46" s="140"/>
    </row>
    <row r="49" spans="1:12">
      <c r="A49" s="1125"/>
      <c r="B49" s="1125"/>
      <c r="C49" s="1125"/>
      <c r="D49" s="1125"/>
      <c r="E49" s="1125"/>
      <c r="F49" s="1125"/>
      <c r="G49" s="1125"/>
      <c r="H49" s="1125"/>
      <c r="I49" s="1125"/>
      <c r="J49" s="1125"/>
    </row>
    <row r="51" spans="1:12" ht="15.75">
      <c r="H51" s="761" t="s">
        <v>908</v>
      </c>
      <c r="I51" s="761"/>
      <c r="J51" s="761"/>
      <c r="K51" s="761"/>
      <c r="L51" s="761"/>
    </row>
    <row r="52" spans="1:12" ht="15.75">
      <c r="H52" s="761" t="s">
        <v>646</v>
      </c>
      <c r="I52" s="761"/>
      <c r="J52" s="761"/>
      <c r="K52" s="761"/>
      <c r="L52" s="761"/>
    </row>
  </sheetData>
  <mergeCells count="17">
    <mergeCell ref="H51:L51"/>
    <mergeCell ref="H52:L52"/>
    <mergeCell ref="A49:J49"/>
    <mergeCell ref="A9:A10"/>
    <mergeCell ref="B9:B10"/>
    <mergeCell ref="C9:D9"/>
    <mergeCell ref="E9:F9"/>
    <mergeCell ref="G9:H9"/>
    <mergeCell ref="I9:J9"/>
    <mergeCell ref="K9:L9"/>
    <mergeCell ref="C12:L45"/>
    <mergeCell ref="E1:I1"/>
    <mergeCell ref="A8:B8"/>
    <mergeCell ref="H8:J8"/>
    <mergeCell ref="A5:L5"/>
    <mergeCell ref="A2:L2"/>
    <mergeCell ref="A3:L3"/>
  </mergeCells>
  <printOptions horizontalCentered="1"/>
  <pageMargins left="0.41" right="0.47" top="0.38" bottom="0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topLeftCell="A34" zoomScaleNormal="70" zoomScaleSheetLayoutView="100" workbookViewId="0">
      <selection activeCell="E48" sqref="E48:H48"/>
    </sheetView>
  </sheetViews>
  <sheetFormatPr defaultRowHeight="12.75"/>
  <cols>
    <col min="1" max="1" width="8.28515625" style="173" customWidth="1"/>
    <col min="2" max="2" width="18.5703125" style="173" customWidth="1"/>
    <col min="3" max="3" width="17.28515625" style="173" customWidth="1"/>
    <col min="4" max="4" width="21" style="173" customWidth="1"/>
    <col min="5" max="5" width="21.140625" style="173" customWidth="1"/>
    <col min="6" max="6" width="20.7109375" style="173" customWidth="1"/>
    <col min="7" max="7" width="23.5703125" style="173" customWidth="1"/>
    <col min="8" max="8" width="22.7109375" style="173" customWidth="1"/>
    <col min="9" max="9" width="9.85546875" style="173" customWidth="1"/>
    <col min="10" max="10" width="9.140625" style="173"/>
    <col min="11" max="11" width="9.140625" style="577"/>
    <col min="12" max="16384" width="9.140625" style="173"/>
  </cols>
  <sheetData>
    <row r="1" spans="1:11" ht="15.75">
      <c r="A1" s="702" t="s">
        <v>648</v>
      </c>
      <c r="B1" s="702"/>
      <c r="C1" s="702"/>
      <c r="D1" s="702"/>
      <c r="E1" s="702"/>
      <c r="F1" s="702"/>
      <c r="G1" s="702"/>
      <c r="H1" s="202" t="s">
        <v>251</v>
      </c>
    </row>
    <row r="2" spans="1:11" ht="20.25">
      <c r="A2" s="703" t="s">
        <v>737</v>
      </c>
      <c r="B2" s="703"/>
      <c r="C2" s="703"/>
      <c r="D2" s="703"/>
      <c r="E2" s="703"/>
      <c r="F2" s="703"/>
      <c r="G2" s="703"/>
      <c r="H2" s="703"/>
    </row>
    <row r="4" spans="1:11" ht="18" customHeight="1">
      <c r="A4" s="792" t="s">
        <v>766</v>
      </c>
      <c r="B4" s="792"/>
      <c r="C4" s="792"/>
      <c r="D4" s="792"/>
      <c r="E4" s="792"/>
      <c r="F4" s="792"/>
      <c r="G4" s="792"/>
      <c r="H4" s="792"/>
    </row>
    <row r="5" spans="1:11" s="5" customFormat="1">
      <c r="A5" s="21" t="s">
        <v>658</v>
      </c>
      <c r="B5" s="21"/>
      <c r="K5" s="542"/>
    </row>
    <row r="6" spans="1:11">
      <c r="A6" s="76"/>
      <c r="B6" s="76"/>
      <c r="G6" s="793" t="s">
        <v>774</v>
      </c>
      <c r="H6" s="793"/>
      <c r="I6" s="55"/>
    </row>
    <row r="7" spans="1:11" ht="51" customHeight="1">
      <c r="A7" s="122" t="s">
        <v>2</v>
      </c>
      <c r="B7" s="122" t="s">
        <v>3</v>
      </c>
      <c r="C7" s="203" t="s">
        <v>252</v>
      </c>
      <c r="D7" s="203" t="s">
        <v>253</v>
      </c>
      <c r="E7" s="203" t="s">
        <v>254</v>
      </c>
      <c r="F7" s="203" t="s">
        <v>255</v>
      </c>
      <c r="G7" s="203" t="s">
        <v>256</v>
      </c>
      <c r="H7" s="203" t="s">
        <v>257</v>
      </c>
      <c r="J7" s="304"/>
    </row>
    <row r="8" spans="1:11" s="202" customFormat="1" ht="15">
      <c r="A8" s="149" t="s">
        <v>258</v>
      </c>
      <c r="B8" s="149" t="s">
        <v>259</v>
      </c>
      <c r="C8" s="149" t="s">
        <v>260</v>
      </c>
      <c r="D8" s="149" t="s">
        <v>261</v>
      </c>
      <c r="E8" s="149" t="s">
        <v>262</v>
      </c>
      <c r="F8" s="149" t="s">
        <v>263</v>
      </c>
      <c r="G8" s="149" t="s">
        <v>264</v>
      </c>
      <c r="H8" s="149" t="s">
        <v>265</v>
      </c>
      <c r="K8" s="459"/>
    </row>
    <row r="9" spans="1:11" s="202" customFormat="1" ht="15">
      <c r="A9" s="204">
        <v>1</v>
      </c>
      <c r="B9" s="204" t="s">
        <v>624</v>
      </c>
      <c r="C9" s="204">
        <f>'AT3A_cvrg(Insti)_PY'!G12</f>
        <v>936</v>
      </c>
      <c r="D9" s="204">
        <f>'AT3C_cvrg(Insti)_UPY '!G11</f>
        <v>111</v>
      </c>
      <c r="E9" s="204">
        <f>'AT3B_cvrg(Insti)_UPY '!G11</f>
        <v>116</v>
      </c>
      <c r="F9" s="294">
        <f>SUM(C9:E9)</f>
        <v>1163</v>
      </c>
      <c r="G9" s="294">
        <f>'AT3A_cvrg(Insti)_PY'!L12+'AT3B_cvrg(Insti)_UPY '!L11+'AT3C_cvrg(Insti)_UPY '!L11</f>
        <v>1156</v>
      </c>
      <c r="H9" s="294">
        <f>F9-G9</f>
        <v>7</v>
      </c>
      <c r="J9" s="459"/>
      <c r="K9" s="459"/>
    </row>
    <row r="10" spans="1:11" s="202" customFormat="1" ht="15">
      <c r="A10" s="204">
        <f>A9+1</f>
        <v>2</v>
      </c>
      <c r="B10" s="204" t="s">
        <v>589</v>
      </c>
      <c r="C10" s="204">
        <f>'AT3A_cvrg(Insti)_PY'!G13</f>
        <v>1036</v>
      </c>
      <c r="D10" s="204">
        <f>'AT3C_cvrg(Insti)_UPY '!G12</f>
        <v>118</v>
      </c>
      <c r="E10" s="204">
        <f>'AT3B_cvrg(Insti)_UPY '!G12</f>
        <v>168</v>
      </c>
      <c r="F10" s="294">
        <f t="shared" ref="F10:F41" si="0">SUM(C10:E10)</f>
        <v>1322</v>
      </c>
      <c r="G10" s="294">
        <f>'AT3A_cvrg(Insti)_PY'!L13+'AT3B_cvrg(Insti)_UPY '!L12+'AT3C_cvrg(Insti)_UPY '!L12</f>
        <v>1315</v>
      </c>
      <c r="H10" s="294">
        <f t="shared" ref="H10:H41" si="1">F10-G10</f>
        <v>7</v>
      </c>
      <c r="J10" s="459"/>
      <c r="K10" s="459"/>
    </row>
    <row r="11" spans="1:11" s="202" customFormat="1" ht="15">
      <c r="A11" s="204">
        <f t="shared" ref="A11:A41" si="2">A10+1</f>
        <v>3</v>
      </c>
      <c r="B11" s="204" t="s">
        <v>625</v>
      </c>
      <c r="C11" s="204">
        <f>'AT3A_cvrg(Insti)_PY'!G14</f>
        <v>611</v>
      </c>
      <c r="D11" s="204">
        <f>'AT3C_cvrg(Insti)_UPY '!G13</f>
        <v>297</v>
      </c>
      <c r="E11" s="204">
        <f>'AT3B_cvrg(Insti)_UPY '!G13</f>
        <v>51</v>
      </c>
      <c r="F11" s="294">
        <f t="shared" si="0"/>
        <v>959</v>
      </c>
      <c r="G11" s="294">
        <f>'AT3A_cvrg(Insti)_PY'!L14+'AT3B_cvrg(Insti)_UPY '!L13+'AT3C_cvrg(Insti)_UPY '!L13</f>
        <v>866</v>
      </c>
      <c r="H11" s="294">
        <f t="shared" si="1"/>
        <v>93</v>
      </c>
      <c r="J11" s="459"/>
      <c r="K11" s="459"/>
    </row>
    <row r="12" spans="1:11" s="202" customFormat="1" ht="15">
      <c r="A12" s="204">
        <f t="shared" si="2"/>
        <v>4</v>
      </c>
      <c r="B12" s="204" t="s">
        <v>590</v>
      </c>
      <c r="C12" s="204">
        <f>'AT3A_cvrg(Insti)_PY'!G15</f>
        <v>516</v>
      </c>
      <c r="D12" s="204">
        <f>'AT3C_cvrg(Insti)_UPY '!G14</f>
        <v>200</v>
      </c>
      <c r="E12" s="204">
        <f>'AT3B_cvrg(Insti)_UPY '!G14</f>
        <v>85</v>
      </c>
      <c r="F12" s="294">
        <f t="shared" si="0"/>
        <v>801</v>
      </c>
      <c r="G12" s="294">
        <f>'AT3A_cvrg(Insti)_PY'!L15+'AT3B_cvrg(Insti)_UPY '!L14+'AT3C_cvrg(Insti)_UPY '!L14</f>
        <v>772</v>
      </c>
      <c r="H12" s="294">
        <f t="shared" si="1"/>
        <v>29</v>
      </c>
      <c r="J12" s="459"/>
      <c r="K12" s="459"/>
    </row>
    <row r="13" spans="1:11" s="202" customFormat="1" ht="15">
      <c r="A13" s="204">
        <f t="shared" si="2"/>
        <v>5</v>
      </c>
      <c r="B13" s="204" t="s">
        <v>591</v>
      </c>
      <c r="C13" s="204">
        <f>'AT3A_cvrg(Insti)_PY'!G16</f>
        <v>362</v>
      </c>
      <c r="D13" s="204">
        <f>'AT3C_cvrg(Insti)_UPY '!G15</f>
        <v>122</v>
      </c>
      <c r="E13" s="204">
        <f>'AT3B_cvrg(Insti)_UPY '!G15</f>
        <v>70</v>
      </c>
      <c r="F13" s="294">
        <f t="shared" si="0"/>
        <v>554</v>
      </c>
      <c r="G13" s="294">
        <f>'AT3A_cvrg(Insti)_PY'!L16+'AT3B_cvrg(Insti)_UPY '!L15+'AT3C_cvrg(Insti)_UPY '!L15</f>
        <v>511</v>
      </c>
      <c r="H13" s="294">
        <f t="shared" si="1"/>
        <v>43</v>
      </c>
      <c r="J13" s="459"/>
      <c r="K13" s="459"/>
    </row>
    <row r="14" spans="1:11" s="202" customFormat="1" ht="15">
      <c r="A14" s="204">
        <f t="shared" si="2"/>
        <v>6</v>
      </c>
      <c r="B14" s="204" t="s">
        <v>592</v>
      </c>
      <c r="C14" s="204">
        <f>'AT3A_cvrg(Insti)_PY'!G17</f>
        <v>320</v>
      </c>
      <c r="D14" s="204">
        <f>'AT3C_cvrg(Insti)_UPY '!G16</f>
        <v>75</v>
      </c>
      <c r="E14" s="204">
        <f>'AT3B_cvrg(Insti)_UPY '!G16</f>
        <v>44</v>
      </c>
      <c r="F14" s="294">
        <f t="shared" si="0"/>
        <v>439</v>
      </c>
      <c r="G14" s="294">
        <f>'AT3A_cvrg(Insti)_PY'!L17+'AT3B_cvrg(Insti)_UPY '!L16+'AT3C_cvrg(Insti)_UPY '!L16</f>
        <v>417</v>
      </c>
      <c r="H14" s="294">
        <f t="shared" si="1"/>
        <v>22</v>
      </c>
      <c r="J14" s="459"/>
      <c r="K14" s="459"/>
    </row>
    <row r="15" spans="1:11" s="202" customFormat="1" ht="15">
      <c r="A15" s="204">
        <f t="shared" si="2"/>
        <v>7</v>
      </c>
      <c r="B15" s="204" t="s">
        <v>593</v>
      </c>
      <c r="C15" s="204">
        <f>'AT3A_cvrg(Insti)_PY'!G18</f>
        <v>289</v>
      </c>
      <c r="D15" s="204">
        <f>'AT3C_cvrg(Insti)_UPY '!G17</f>
        <v>87</v>
      </c>
      <c r="E15" s="204">
        <f>'AT3B_cvrg(Insti)_UPY '!G17</f>
        <v>88</v>
      </c>
      <c r="F15" s="294">
        <f t="shared" si="0"/>
        <v>464</v>
      </c>
      <c r="G15" s="294">
        <f>'AT3A_cvrg(Insti)_PY'!L18+'AT3B_cvrg(Insti)_UPY '!L17+'AT3C_cvrg(Insti)_UPY '!L17</f>
        <v>462</v>
      </c>
      <c r="H15" s="294">
        <f t="shared" si="1"/>
        <v>2</v>
      </c>
      <c r="J15" s="459"/>
      <c r="K15" s="459"/>
    </row>
    <row r="16" spans="1:11" s="202" customFormat="1" ht="15">
      <c r="A16" s="204">
        <f t="shared" si="2"/>
        <v>8</v>
      </c>
      <c r="B16" s="204" t="s">
        <v>594</v>
      </c>
      <c r="C16" s="204">
        <f>'AT3A_cvrg(Insti)_PY'!G19</f>
        <v>701</v>
      </c>
      <c r="D16" s="204">
        <f>'AT3C_cvrg(Insti)_UPY '!G18</f>
        <v>192</v>
      </c>
      <c r="E16" s="204">
        <f>'AT3B_cvrg(Insti)_UPY '!G18</f>
        <v>135</v>
      </c>
      <c r="F16" s="294">
        <f t="shared" si="0"/>
        <v>1028</v>
      </c>
      <c r="G16" s="294">
        <f>'AT3A_cvrg(Insti)_PY'!L19+'AT3B_cvrg(Insti)_UPY '!L18+'AT3C_cvrg(Insti)_UPY '!L18</f>
        <v>1008</v>
      </c>
      <c r="H16" s="294">
        <f t="shared" si="1"/>
        <v>20</v>
      </c>
      <c r="J16" s="459"/>
      <c r="K16" s="459"/>
    </row>
    <row r="17" spans="1:11" s="202" customFormat="1" ht="15">
      <c r="A17" s="204">
        <f t="shared" si="2"/>
        <v>9</v>
      </c>
      <c r="B17" s="204" t="s">
        <v>595</v>
      </c>
      <c r="C17" s="204">
        <f>'AT3A_cvrg(Insti)_PY'!G20</f>
        <v>425</v>
      </c>
      <c r="D17" s="204">
        <f>'AT3C_cvrg(Insti)_UPY '!G19</f>
        <v>166</v>
      </c>
      <c r="E17" s="204">
        <f>'AT3B_cvrg(Insti)_UPY '!G19</f>
        <v>77</v>
      </c>
      <c r="F17" s="294">
        <f t="shared" si="0"/>
        <v>668</v>
      </c>
      <c r="G17" s="294">
        <f>'AT3A_cvrg(Insti)_PY'!L20+'AT3B_cvrg(Insti)_UPY '!L19+'AT3C_cvrg(Insti)_UPY '!L19</f>
        <v>641</v>
      </c>
      <c r="H17" s="294">
        <f t="shared" si="1"/>
        <v>27</v>
      </c>
      <c r="J17" s="459"/>
      <c r="K17" s="459"/>
    </row>
    <row r="18" spans="1:11" s="202" customFormat="1" ht="15">
      <c r="A18" s="204">
        <f t="shared" si="2"/>
        <v>10</v>
      </c>
      <c r="B18" s="204" t="s">
        <v>596</v>
      </c>
      <c r="C18" s="204">
        <f>'AT3A_cvrg(Insti)_PY'!G21</f>
        <v>841</v>
      </c>
      <c r="D18" s="204">
        <f>'AT3C_cvrg(Insti)_UPY '!G20</f>
        <v>221</v>
      </c>
      <c r="E18" s="204">
        <f>'AT3B_cvrg(Insti)_UPY '!G20</f>
        <v>194</v>
      </c>
      <c r="F18" s="294">
        <f t="shared" si="0"/>
        <v>1256</v>
      </c>
      <c r="G18" s="294">
        <f>'AT3A_cvrg(Insti)_PY'!L21+'AT3B_cvrg(Insti)_UPY '!L20+'AT3C_cvrg(Insti)_UPY '!L20</f>
        <v>1241</v>
      </c>
      <c r="H18" s="294">
        <f t="shared" si="1"/>
        <v>15</v>
      </c>
      <c r="J18" s="459"/>
      <c r="K18" s="459"/>
    </row>
    <row r="19" spans="1:11" s="202" customFormat="1" ht="15">
      <c r="A19" s="204">
        <f t="shared" si="2"/>
        <v>11</v>
      </c>
      <c r="B19" s="204" t="s">
        <v>626</v>
      </c>
      <c r="C19" s="204">
        <f>'AT3A_cvrg(Insti)_PY'!G22</f>
        <v>863</v>
      </c>
      <c r="D19" s="204">
        <f>'AT3C_cvrg(Insti)_UPY '!G21</f>
        <v>62</v>
      </c>
      <c r="E19" s="204">
        <f>'AT3B_cvrg(Insti)_UPY '!G21</f>
        <v>107</v>
      </c>
      <c r="F19" s="294">
        <f t="shared" si="0"/>
        <v>1032</v>
      </c>
      <c r="G19" s="294">
        <f>'AT3A_cvrg(Insti)_PY'!L22+'AT3B_cvrg(Insti)_UPY '!L21+'AT3C_cvrg(Insti)_UPY '!L21</f>
        <v>1009</v>
      </c>
      <c r="H19" s="294">
        <f t="shared" si="1"/>
        <v>23</v>
      </c>
      <c r="J19" s="459"/>
      <c r="K19" s="459"/>
    </row>
    <row r="20" spans="1:11" s="202" customFormat="1" ht="15">
      <c r="A20" s="204">
        <f t="shared" si="2"/>
        <v>12</v>
      </c>
      <c r="B20" s="204" t="s">
        <v>597</v>
      </c>
      <c r="C20" s="204">
        <f>'AT3A_cvrg(Insti)_PY'!G23</f>
        <v>765</v>
      </c>
      <c r="D20" s="204">
        <f>'AT3C_cvrg(Insti)_UPY '!G22</f>
        <v>111</v>
      </c>
      <c r="E20" s="204">
        <f>'AT3B_cvrg(Insti)_UPY '!G22</f>
        <v>123</v>
      </c>
      <c r="F20" s="294">
        <f t="shared" si="0"/>
        <v>999</v>
      </c>
      <c r="G20" s="294">
        <f>'AT3A_cvrg(Insti)_PY'!L23+'AT3B_cvrg(Insti)_UPY '!L22+'AT3C_cvrg(Insti)_UPY '!L22</f>
        <v>902</v>
      </c>
      <c r="H20" s="294">
        <f t="shared" si="1"/>
        <v>97</v>
      </c>
      <c r="J20" s="459"/>
      <c r="K20" s="459"/>
    </row>
    <row r="21" spans="1:11" s="202" customFormat="1" ht="15">
      <c r="A21" s="204">
        <f t="shared" si="2"/>
        <v>13</v>
      </c>
      <c r="B21" s="204" t="s">
        <v>598</v>
      </c>
      <c r="C21" s="204">
        <f>'AT3A_cvrg(Insti)_PY'!G24</f>
        <v>647</v>
      </c>
      <c r="D21" s="204">
        <f>'AT3C_cvrg(Insti)_UPY '!G23</f>
        <v>144</v>
      </c>
      <c r="E21" s="204">
        <f>'AT3B_cvrg(Insti)_UPY '!G23</f>
        <v>100</v>
      </c>
      <c r="F21" s="294">
        <f t="shared" si="0"/>
        <v>891</v>
      </c>
      <c r="G21" s="294">
        <f>'AT3A_cvrg(Insti)_PY'!L24+'AT3B_cvrg(Insti)_UPY '!L23+'AT3C_cvrg(Insti)_UPY '!L23</f>
        <v>857</v>
      </c>
      <c r="H21" s="294">
        <f t="shared" si="1"/>
        <v>34</v>
      </c>
      <c r="J21" s="459"/>
      <c r="K21" s="459"/>
    </row>
    <row r="22" spans="1:11" s="202" customFormat="1" ht="15">
      <c r="A22" s="204">
        <f t="shared" si="2"/>
        <v>14</v>
      </c>
      <c r="B22" s="204" t="s">
        <v>627</v>
      </c>
      <c r="C22" s="204">
        <f>'AT3A_cvrg(Insti)_PY'!G25</f>
        <v>566</v>
      </c>
      <c r="D22" s="204">
        <f>'AT3C_cvrg(Insti)_UPY '!G24</f>
        <v>121</v>
      </c>
      <c r="E22" s="204">
        <f>'AT3B_cvrg(Insti)_UPY '!G24</f>
        <v>97</v>
      </c>
      <c r="F22" s="294">
        <f t="shared" si="0"/>
        <v>784</v>
      </c>
      <c r="G22" s="294">
        <f>'AT3A_cvrg(Insti)_PY'!L25+'AT3B_cvrg(Insti)_UPY '!L24+'AT3C_cvrg(Insti)_UPY '!L24</f>
        <v>769</v>
      </c>
      <c r="H22" s="294">
        <f t="shared" si="1"/>
        <v>15</v>
      </c>
      <c r="J22" s="459"/>
      <c r="K22" s="459"/>
    </row>
    <row r="23" spans="1:11" s="202" customFormat="1" ht="15">
      <c r="A23" s="204">
        <f t="shared" si="2"/>
        <v>15</v>
      </c>
      <c r="B23" s="204" t="s">
        <v>599</v>
      </c>
      <c r="C23" s="204">
        <f>'AT3A_cvrg(Insti)_PY'!G26</f>
        <v>627</v>
      </c>
      <c r="D23" s="204">
        <f>'AT3C_cvrg(Insti)_UPY '!G25</f>
        <v>152</v>
      </c>
      <c r="E23" s="204">
        <f>'AT3B_cvrg(Insti)_UPY '!G25</f>
        <v>130</v>
      </c>
      <c r="F23" s="294">
        <f t="shared" si="0"/>
        <v>909</v>
      </c>
      <c r="G23" s="294">
        <f>'AT3A_cvrg(Insti)_PY'!L26+'AT3B_cvrg(Insti)_UPY '!L25+'AT3C_cvrg(Insti)_UPY '!L25</f>
        <v>891</v>
      </c>
      <c r="H23" s="294">
        <f t="shared" si="1"/>
        <v>18</v>
      </c>
      <c r="J23" s="459"/>
      <c r="K23" s="459"/>
    </row>
    <row r="24" spans="1:11" s="202" customFormat="1" ht="15">
      <c r="A24" s="204">
        <f t="shared" si="2"/>
        <v>16</v>
      </c>
      <c r="B24" s="204" t="s">
        <v>600</v>
      </c>
      <c r="C24" s="204">
        <f>'AT3A_cvrg(Insti)_PY'!G27</f>
        <v>375</v>
      </c>
      <c r="D24" s="204">
        <f>'AT3C_cvrg(Insti)_UPY '!G26</f>
        <v>110</v>
      </c>
      <c r="E24" s="204">
        <f>'AT3B_cvrg(Insti)_UPY '!G26</f>
        <v>33</v>
      </c>
      <c r="F24" s="294">
        <f t="shared" si="0"/>
        <v>518</v>
      </c>
      <c r="G24" s="294">
        <f>'AT3A_cvrg(Insti)_PY'!L27+'AT3B_cvrg(Insti)_UPY '!L26+'AT3C_cvrg(Insti)_UPY '!L26</f>
        <v>514</v>
      </c>
      <c r="H24" s="294">
        <f t="shared" si="1"/>
        <v>4</v>
      </c>
      <c r="J24" s="459"/>
      <c r="K24" s="459"/>
    </row>
    <row r="25" spans="1:11" s="202" customFormat="1" ht="15">
      <c r="A25" s="204">
        <f t="shared" si="2"/>
        <v>17</v>
      </c>
      <c r="B25" s="529" t="s">
        <v>684</v>
      </c>
      <c r="C25" s="204">
        <f>'AT3A_cvrg(Insti)_PY'!G28</f>
        <v>346</v>
      </c>
      <c r="D25" s="204">
        <f>'AT3C_cvrg(Insti)_UPY '!G27</f>
        <v>43</v>
      </c>
      <c r="E25" s="204">
        <f>'AT3B_cvrg(Insti)_UPY '!G27</f>
        <v>44</v>
      </c>
      <c r="F25" s="294">
        <f t="shared" si="0"/>
        <v>433</v>
      </c>
      <c r="G25" s="294">
        <f>'AT3A_cvrg(Insti)_PY'!L28+'AT3B_cvrg(Insti)_UPY '!L27+'AT3C_cvrg(Insti)_UPY '!L27</f>
        <v>409</v>
      </c>
      <c r="H25" s="294">
        <f t="shared" si="1"/>
        <v>24</v>
      </c>
      <c r="J25" s="459"/>
      <c r="K25" s="459"/>
    </row>
    <row r="26" spans="1:11" s="202" customFormat="1" ht="15">
      <c r="A26" s="204">
        <f t="shared" si="2"/>
        <v>18</v>
      </c>
      <c r="B26" s="204" t="s">
        <v>601</v>
      </c>
      <c r="C26" s="204">
        <f>'AT3A_cvrg(Insti)_PY'!G29</f>
        <v>604</v>
      </c>
      <c r="D26" s="204">
        <f>'AT3C_cvrg(Insti)_UPY '!G28</f>
        <v>135</v>
      </c>
      <c r="E26" s="204">
        <f>'AT3B_cvrg(Insti)_UPY '!G28</f>
        <v>131</v>
      </c>
      <c r="F26" s="294">
        <f t="shared" si="0"/>
        <v>870</v>
      </c>
      <c r="G26" s="294">
        <f>'AT3A_cvrg(Insti)_PY'!L29+'AT3B_cvrg(Insti)_UPY '!L28+'AT3C_cvrg(Insti)_UPY '!L28</f>
        <v>832</v>
      </c>
      <c r="H26" s="294">
        <f t="shared" si="1"/>
        <v>38</v>
      </c>
      <c r="J26" s="459"/>
      <c r="K26" s="459"/>
    </row>
    <row r="27" spans="1:11" s="202" customFormat="1" ht="15">
      <c r="A27" s="204">
        <f t="shared" si="2"/>
        <v>19</v>
      </c>
      <c r="B27" s="204" t="s">
        <v>602</v>
      </c>
      <c r="C27" s="204">
        <f>'AT3A_cvrg(Insti)_PY'!G30</f>
        <v>1162</v>
      </c>
      <c r="D27" s="204">
        <f>'AT3C_cvrg(Insti)_UPY '!G29</f>
        <v>260</v>
      </c>
      <c r="E27" s="204">
        <f>'AT3B_cvrg(Insti)_UPY '!G29</f>
        <v>135</v>
      </c>
      <c r="F27" s="294">
        <f t="shared" si="0"/>
        <v>1557</v>
      </c>
      <c r="G27" s="294">
        <f>'AT3A_cvrg(Insti)_PY'!L30+'AT3B_cvrg(Insti)_UPY '!L29+'AT3C_cvrg(Insti)_UPY '!L29</f>
        <v>1430</v>
      </c>
      <c r="H27" s="294">
        <f t="shared" si="1"/>
        <v>127</v>
      </c>
      <c r="J27" s="459"/>
      <c r="K27" s="459"/>
    </row>
    <row r="28" spans="1:11" s="202" customFormat="1" ht="15">
      <c r="A28" s="204">
        <f t="shared" si="2"/>
        <v>20</v>
      </c>
      <c r="B28" s="529" t="s">
        <v>683</v>
      </c>
      <c r="C28" s="204">
        <f>'AT3A_cvrg(Insti)_PY'!G31</f>
        <v>345</v>
      </c>
      <c r="D28" s="204">
        <f>'AT3C_cvrg(Insti)_UPY '!G30</f>
        <v>82</v>
      </c>
      <c r="E28" s="204">
        <f>'AT3B_cvrg(Insti)_UPY '!G30</f>
        <v>86</v>
      </c>
      <c r="F28" s="294">
        <f t="shared" si="0"/>
        <v>513</v>
      </c>
      <c r="G28" s="294">
        <f>'AT3A_cvrg(Insti)_PY'!L31+'AT3B_cvrg(Insti)_UPY '!L30+'AT3C_cvrg(Insti)_UPY '!L30</f>
        <v>492</v>
      </c>
      <c r="H28" s="294">
        <f t="shared" si="1"/>
        <v>21</v>
      </c>
      <c r="J28" s="459"/>
      <c r="K28" s="459"/>
    </row>
    <row r="29" spans="1:11" s="202" customFormat="1" ht="15">
      <c r="A29" s="204">
        <f t="shared" si="2"/>
        <v>21</v>
      </c>
      <c r="B29" s="529" t="s">
        <v>628</v>
      </c>
      <c r="C29" s="204">
        <f>'AT3A_cvrg(Insti)_PY'!G32</f>
        <v>570</v>
      </c>
      <c r="D29" s="204">
        <f>'AT3C_cvrg(Insti)_UPY '!G31</f>
        <v>119</v>
      </c>
      <c r="E29" s="204">
        <f>'AT3B_cvrg(Insti)_UPY '!G31</f>
        <v>93</v>
      </c>
      <c r="F29" s="294">
        <f t="shared" si="0"/>
        <v>782</v>
      </c>
      <c r="G29" s="294">
        <f>'AT3A_cvrg(Insti)_PY'!L32+'AT3B_cvrg(Insti)_UPY '!L31+'AT3C_cvrg(Insti)_UPY '!L31</f>
        <v>767</v>
      </c>
      <c r="H29" s="294">
        <f t="shared" si="1"/>
        <v>15</v>
      </c>
      <c r="J29" s="459"/>
      <c r="K29" s="459"/>
    </row>
    <row r="30" spans="1:11" s="202" customFormat="1" ht="15">
      <c r="A30" s="204">
        <f t="shared" si="2"/>
        <v>22</v>
      </c>
      <c r="B30" s="204" t="s">
        <v>603</v>
      </c>
      <c r="C30" s="204">
        <f>'AT3A_cvrg(Insti)_PY'!G33</f>
        <v>797</v>
      </c>
      <c r="D30" s="204">
        <f>'AT3C_cvrg(Insti)_UPY '!G32</f>
        <v>276</v>
      </c>
      <c r="E30" s="204">
        <f>'AT3B_cvrg(Insti)_UPY '!G32</f>
        <v>141</v>
      </c>
      <c r="F30" s="294">
        <f t="shared" si="0"/>
        <v>1214</v>
      </c>
      <c r="G30" s="294">
        <f>'AT3A_cvrg(Insti)_PY'!L33+'AT3B_cvrg(Insti)_UPY '!L32+'AT3C_cvrg(Insti)_UPY '!L32</f>
        <v>1208</v>
      </c>
      <c r="H30" s="294">
        <f t="shared" si="1"/>
        <v>6</v>
      </c>
      <c r="J30" s="459"/>
      <c r="K30" s="459"/>
    </row>
    <row r="31" spans="1:11" s="202" customFormat="1" ht="15">
      <c r="A31" s="204">
        <f t="shared" si="2"/>
        <v>23</v>
      </c>
      <c r="B31" s="204" t="s">
        <v>604</v>
      </c>
      <c r="C31" s="204">
        <f>'AT3A_cvrg(Insti)_PY'!G34</f>
        <v>360</v>
      </c>
      <c r="D31" s="204">
        <f>'AT3C_cvrg(Insti)_UPY '!G33</f>
        <v>114</v>
      </c>
      <c r="E31" s="204">
        <f>'AT3B_cvrg(Insti)_UPY '!G33</f>
        <v>85</v>
      </c>
      <c r="F31" s="294">
        <f t="shared" si="0"/>
        <v>559</v>
      </c>
      <c r="G31" s="294">
        <f>'AT3A_cvrg(Insti)_PY'!L34+'AT3B_cvrg(Insti)_UPY '!L33+'AT3C_cvrg(Insti)_UPY '!L33</f>
        <v>529</v>
      </c>
      <c r="H31" s="294">
        <f t="shared" si="1"/>
        <v>30</v>
      </c>
      <c r="J31" s="459"/>
      <c r="K31" s="459"/>
    </row>
    <row r="32" spans="1:11" s="202" customFormat="1" ht="15">
      <c r="A32" s="204">
        <f t="shared" si="2"/>
        <v>24</v>
      </c>
      <c r="B32" s="204" t="s">
        <v>605</v>
      </c>
      <c r="C32" s="204">
        <f>'AT3A_cvrg(Insti)_PY'!G35</f>
        <v>341</v>
      </c>
      <c r="D32" s="204">
        <f>'AT3C_cvrg(Insti)_UPY '!G34</f>
        <v>121</v>
      </c>
      <c r="E32" s="204">
        <f>'AT3B_cvrg(Insti)_UPY '!G34</f>
        <v>38</v>
      </c>
      <c r="F32" s="294">
        <f t="shared" si="0"/>
        <v>500</v>
      </c>
      <c r="G32" s="294">
        <f>'AT3A_cvrg(Insti)_PY'!L35+'AT3B_cvrg(Insti)_UPY '!L34+'AT3C_cvrg(Insti)_UPY '!L34</f>
        <v>480</v>
      </c>
      <c r="H32" s="294">
        <f t="shared" si="1"/>
        <v>20</v>
      </c>
      <c r="J32" s="459"/>
      <c r="K32" s="459"/>
    </row>
    <row r="33" spans="1:15" s="202" customFormat="1" ht="15">
      <c r="A33" s="204">
        <f t="shared" si="2"/>
        <v>25</v>
      </c>
      <c r="B33" s="204" t="s">
        <v>606</v>
      </c>
      <c r="C33" s="204">
        <f>'AT3A_cvrg(Insti)_PY'!G36</f>
        <v>902</v>
      </c>
      <c r="D33" s="204">
        <f>'AT3C_cvrg(Insti)_UPY '!G35</f>
        <v>255</v>
      </c>
      <c r="E33" s="204">
        <f>'AT3B_cvrg(Insti)_UPY '!G35</f>
        <v>197</v>
      </c>
      <c r="F33" s="294">
        <f t="shared" si="0"/>
        <v>1354</v>
      </c>
      <c r="G33" s="294">
        <f>'AT3A_cvrg(Insti)_PY'!L36+'AT3B_cvrg(Insti)_UPY '!L35+'AT3C_cvrg(Insti)_UPY '!L35</f>
        <v>1320</v>
      </c>
      <c r="H33" s="294">
        <f t="shared" si="1"/>
        <v>34</v>
      </c>
      <c r="J33" s="459"/>
      <c r="K33" s="459"/>
    </row>
    <row r="34" spans="1:15" s="202" customFormat="1" ht="15">
      <c r="A34" s="204">
        <f t="shared" si="2"/>
        <v>26</v>
      </c>
      <c r="B34" s="204" t="s">
        <v>607</v>
      </c>
      <c r="C34" s="204">
        <f>'AT3A_cvrg(Insti)_PY'!G37</f>
        <v>872</v>
      </c>
      <c r="D34" s="204">
        <f>'AT3C_cvrg(Insti)_UPY '!G36</f>
        <v>219</v>
      </c>
      <c r="E34" s="204">
        <f>'AT3B_cvrg(Insti)_UPY '!G36</f>
        <v>195</v>
      </c>
      <c r="F34" s="294">
        <f t="shared" si="0"/>
        <v>1286</v>
      </c>
      <c r="G34" s="294">
        <f>'AT3A_cvrg(Insti)_PY'!L37+'AT3B_cvrg(Insti)_UPY '!L36+'AT3C_cvrg(Insti)_UPY '!L36</f>
        <v>1272</v>
      </c>
      <c r="H34" s="294">
        <f t="shared" si="1"/>
        <v>14</v>
      </c>
      <c r="J34" s="459"/>
      <c r="K34" s="459"/>
    </row>
    <row r="35" spans="1:15" s="202" customFormat="1" ht="15">
      <c r="A35" s="204">
        <f t="shared" si="2"/>
        <v>27</v>
      </c>
      <c r="B35" s="204" t="s">
        <v>608</v>
      </c>
      <c r="C35" s="204">
        <f>'AT3A_cvrg(Insti)_PY'!G38</f>
        <v>638</v>
      </c>
      <c r="D35" s="204">
        <f>'AT3C_cvrg(Insti)_UPY '!G37</f>
        <v>242</v>
      </c>
      <c r="E35" s="204">
        <f>'AT3B_cvrg(Insti)_UPY '!G37</f>
        <v>114</v>
      </c>
      <c r="F35" s="294">
        <f t="shared" si="0"/>
        <v>994</v>
      </c>
      <c r="G35" s="294">
        <f>'AT3A_cvrg(Insti)_PY'!L38+'AT3B_cvrg(Insti)_UPY '!L37+'AT3C_cvrg(Insti)_UPY '!L37</f>
        <v>963</v>
      </c>
      <c r="H35" s="294">
        <f t="shared" si="1"/>
        <v>31</v>
      </c>
      <c r="J35" s="459"/>
      <c r="K35" s="459"/>
    </row>
    <row r="36" spans="1:15" s="202" customFormat="1" ht="15">
      <c r="A36" s="204">
        <f t="shared" si="2"/>
        <v>28</v>
      </c>
      <c r="B36" s="204" t="s">
        <v>609</v>
      </c>
      <c r="C36" s="204">
        <f>'AT3A_cvrg(Insti)_PY'!G39</f>
        <v>701</v>
      </c>
      <c r="D36" s="204">
        <f>'AT3C_cvrg(Insti)_UPY '!G38</f>
        <v>197</v>
      </c>
      <c r="E36" s="204">
        <f>'AT3B_cvrg(Insti)_UPY '!G38</f>
        <v>82</v>
      </c>
      <c r="F36" s="294">
        <f t="shared" si="0"/>
        <v>980</v>
      </c>
      <c r="G36" s="294">
        <f>'AT3A_cvrg(Insti)_PY'!L39+'AT3B_cvrg(Insti)_UPY '!L38+'AT3C_cvrg(Insti)_UPY '!L38</f>
        <v>951</v>
      </c>
      <c r="H36" s="294">
        <f t="shared" si="1"/>
        <v>29</v>
      </c>
      <c r="J36" s="459"/>
      <c r="K36" s="459"/>
    </row>
    <row r="37" spans="1:15" s="202" customFormat="1" ht="15">
      <c r="A37" s="204">
        <f t="shared" si="2"/>
        <v>29</v>
      </c>
      <c r="B37" s="204" t="s">
        <v>610</v>
      </c>
      <c r="C37" s="204">
        <f>'AT3A_cvrg(Insti)_PY'!G40</f>
        <v>756</v>
      </c>
      <c r="D37" s="204">
        <f>'AT3C_cvrg(Insti)_UPY '!G39</f>
        <v>188</v>
      </c>
      <c r="E37" s="204">
        <f>'AT3B_cvrg(Insti)_UPY '!G39</f>
        <v>113</v>
      </c>
      <c r="F37" s="294">
        <f t="shared" si="0"/>
        <v>1057</v>
      </c>
      <c r="G37" s="294">
        <f>'AT3A_cvrg(Insti)_PY'!L40+'AT3B_cvrg(Insti)_UPY '!L39+'AT3C_cvrg(Insti)_UPY '!L39</f>
        <v>1033</v>
      </c>
      <c r="H37" s="294">
        <f t="shared" si="1"/>
        <v>24</v>
      </c>
      <c r="J37" s="459"/>
      <c r="K37" s="459"/>
    </row>
    <row r="38" spans="1:15" ht="15">
      <c r="A38" s="204">
        <f t="shared" si="2"/>
        <v>30</v>
      </c>
      <c r="B38" s="143" t="s">
        <v>611</v>
      </c>
      <c r="C38" s="204">
        <f>'AT3A_cvrg(Insti)_PY'!G41</f>
        <v>361</v>
      </c>
      <c r="D38" s="204">
        <f>'AT3C_cvrg(Insti)_UPY '!G40</f>
        <v>105</v>
      </c>
      <c r="E38" s="204">
        <f>'AT3B_cvrg(Insti)_UPY '!G40</f>
        <v>58</v>
      </c>
      <c r="F38" s="294">
        <f t="shared" si="0"/>
        <v>524</v>
      </c>
      <c r="G38" s="294">
        <f>'AT3A_cvrg(Insti)_PY'!L41+'AT3B_cvrg(Insti)_UPY '!L40+'AT3C_cvrg(Insti)_UPY '!L40</f>
        <v>509</v>
      </c>
      <c r="H38" s="294">
        <f t="shared" si="1"/>
        <v>15</v>
      </c>
      <c r="J38" s="459"/>
      <c r="K38" s="459"/>
    </row>
    <row r="39" spans="1:15" ht="15">
      <c r="A39" s="204">
        <f t="shared" si="2"/>
        <v>31</v>
      </c>
      <c r="B39" s="143" t="s">
        <v>612</v>
      </c>
      <c r="C39" s="204">
        <f>'AT3A_cvrg(Insti)_PY'!G42</f>
        <v>459</v>
      </c>
      <c r="D39" s="204">
        <f>'AT3C_cvrg(Insti)_UPY '!G41</f>
        <v>140</v>
      </c>
      <c r="E39" s="204">
        <f>'AT3B_cvrg(Insti)_UPY '!G41</f>
        <v>81</v>
      </c>
      <c r="F39" s="294">
        <f t="shared" si="0"/>
        <v>680</v>
      </c>
      <c r="G39" s="294">
        <f>'AT3A_cvrg(Insti)_PY'!L42+'AT3B_cvrg(Insti)_UPY '!L41+'AT3C_cvrg(Insti)_UPY '!L41</f>
        <v>607</v>
      </c>
      <c r="H39" s="294">
        <f t="shared" si="1"/>
        <v>73</v>
      </c>
      <c r="J39" s="459"/>
      <c r="K39" s="459"/>
    </row>
    <row r="40" spans="1:15" ht="15">
      <c r="A40" s="204">
        <f t="shared" si="2"/>
        <v>32</v>
      </c>
      <c r="B40" s="143" t="s">
        <v>613</v>
      </c>
      <c r="C40" s="204">
        <f>'AT3A_cvrg(Insti)_PY'!G43</f>
        <v>343</v>
      </c>
      <c r="D40" s="204">
        <f>'AT3C_cvrg(Insti)_UPY '!G42</f>
        <v>138</v>
      </c>
      <c r="E40" s="204">
        <f>'AT3B_cvrg(Insti)_UPY '!G42</f>
        <v>62</v>
      </c>
      <c r="F40" s="294">
        <f t="shared" si="0"/>
        <v>543</v>
      </c>
      <c r="G40" s="294">
        <f>'AT3A_cvrg(Insti)_PY'!L43+'AT3B_cvrg(Insti)_UPY '!L42+'AT3C_cvrg(Insti)_UPY '!L42</f>
        <v>524</v>
      </c>
      <c r="H40" s="294">
        <f t="shared" si="1"/>
        <v>19</v>
      </c>
      <c r="J40" s="459"/>
      <c r="K40" s="459"/>
    </row>
    <row r="41" spans="1:15" ht="15">
      <c r="A41" s="204">
        <f t="shared" si="2"/>
        <v>33</v>
      </c>
      <c r="B41" s="143" t="s">
        <v>614</v>
      </c>
      <c r="C41" s="204">
        <f>'AT3A_cvrg(Insti)_PY'!G44</f>
        <v>476</v>
      </c>
      <c r="D41" s="204">
        <f>'AT3C_cvrg(Insti)_UPY '!G43</f>
        <v>161</v>
      </c>
      <c r="E41" s="204">
        <f>'AT3B_cvrg(Insti)_UPY '!G43</f>
        <v>63</v>
      </c>
      <c r="F41" s="294">
        <f t="shared" si="0"/>
        <v>700</v>
      </c>
      <c r="G41" s="294">
        <f>'AT3A_cvrg(Insti)_PY'!L44+'AT3B_cvrg(Insti)_UPY '!L43+'AT3C_cvrg(Insti)_UPY '!L43</f>
        <v>672</v>
      </c>
      <c r="H41" s="294">
        <f t="shared" si="1"/>
        <v>28</v>
      </c>
      <c r="J41" s="459"/>
      <c r="K41" s="459"/>
    </row>
    <row r="42" spans="1:15" s="598" customFormat="1" ht="25.5">
      <c r="A42" s="414"/>
      <c r="B42" s="414" t="s">
        <v>615</v>
      </c>
      <c r="C42" s="572">
        <f>SUM(C9:C41)</f>
        <v>19913</v>
      </c>
      <c r="D42" s="572">
        <f>SUM(D9:D41)</f>
        <v>5084</v>
      </c>
      <c r="E42" s="572">
        <f>SUM(E9:E41)</f>
        <v>3336</v>
      </c>
      <c r="F42" s="572">
        <f>SUM(F9:F41)</f>
        <v>28333</v>
      </c>
      <c r="G42" s="572">
        <f>SUM(G9:G41)</f>
        <v>27329</v>
      </c>
      <c r="H42" s="14" t="s">
        <v>895</v>
      </c>
    </row>
    <row r="43" spans="1:15" ht="7.5" customHeight="1">
      <c r="C43" s="367"/>
      <c r="D43" s="367"/>
      <c r="E43" s="367"/>
      <c r="F43" s="367"/>
    </row>
    <row r="44" spans="1:15">
      <c r="A44" s="205" t="s">
        <v>266</v>
      </c>
    </row>
    <row r="45" spans="1:15" ht="4.5" customHeight="1"/>
    <row r="46" spans="1: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8" spans="1:15" ht="15.75">
      <c r="E48" s="761" t="s">
        <v>908</v>
      </c>
      <c r="F48" s="761"/>
      <c r="G48" s="761"/>
      <c r="H48" s="761"/>
      <c r="I48" s="5"/>
    </row>
    <row r="49" spans="5:9" ht="15.75">
      <c r="E49" s="761" t="s">
        <v>646</v>
      </c>
      <c r="F49" s="761"/>
      <c r="G49" s="761"/>
      <c r="H49" s="761"/>
      <c r="I49" s="287"/>
    </row>
  </sheetData>
  <mergeCells count="6">
    <mergeCell ref="E48:H48"/>
    <mergeCell ref="E49:H49"/>
    <mergeCell ref="A1:G1"/>
    <mergeCell ref="A2:H2"/>
    <mergeCell ref="A4:H4"/>
    <mergeCell ref="G6:H6"/>
  </mergeCells>
  <printOptions horizontalCentered="1"/>
  <pageMargins left="0.43" right="0.44" top="0.43" bottom="0.23" header="0.31496062992125984" footer="0.31496062992125984"/>
  <pageSetup paperSize="9" scale="74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topLeftCell="C24" zoomScale="78" zoomScaleNormal="70" zoomScaleSheetLayoutView="78" workbookViewId="0">
      <selection activeCell="M29" sqref="M29"/>
    </sheetView>
  </sheetViews>
  <sheetFormatPr defaultColWidth="9.140625" defaultRowHeight="12.75"/>
  <cols>
    <col min="1" max="1" width="7.42578125" style="198" customWidth="1"/>
    <col min="2" max="2" width="17.140625" style="198" customWidth="1"/>
    <col min="3" max="3" width="11" style="198" customWidth="1"/>
    <col min="4" max="4" width="10" style="198" customWidth="1"/>
    <col min="5" max="5" width="11.85546875" style="198" customWidth="1"/>
    <col min="6" max="6" width="12.140625" style="198" customWidth="1"/>
    <col min="7" max="7" width="13.28515625" style="198" customWidth="1"/>
    <col min="8" max="8" width="14.5703125" style="198" customWidth="1"/>
    <col min="9" max="9" width="12" style="198" customWidth="1"/>
    <col min="10" max="10" width="13.140625" style="198" customWidth="1"/>
    <col min="11" max="11" width="10.85546875" style="198" customWidth="1"/>
    <col min="12" max="12" width="10.7109375" style="198" customWidth="1"/>
    <col min="13" max="16384" width="9.140625" style="198"/>
  </cols>
  <sheetData>
    <row r="1" spans="1:16">
      <c r="E1" s="1121"/>
      <c r="F1" s="1121"/>
      <c r="G1" s="1121"/>
      <c r="H1" s="1121"/>
      <c r="I1" s="1121"/>
      <c r="J1" s="138" t="s">
        <v>588</v>
      </c>
    </row>
    <row r="2" spans="1:16" ht="15">
      <c r="A2" s="1124" t="s">
        <v>0</v>
      </c>
      <c r="B2" s="1124"/>
      <c r="C2" s="1124"/>
      <c r="D2" s="1124"/>
      <c r="E2" s="1124"/>
      <c r="F2" s="1124"/>
      <c r="G2" s="1124"/>
      <c r="H2" s="1124"/>
      <c r="I2" s="1124"/>
      <c r="J2" s="1124"/>
    </row>
    <row r="3" spans="1:16" ht="20.25">
      <c r="A3" s="763" t="s">
        <v>737</v>
      </c>
      <c r="B3" s="763"/>
      <c r="C3" s="763"/>
      <c r="D3" s="763"/>
      <c r="E3" s="763"/>
      <c r="F3" s="763"/>
      <c r="G3" s="763"/>
      <c r="H3" s="763"/>
      <c r="I3" s="763"/>
      <c r="J3" s="763"/>
    </row>
    <row r="4" spans="1:16" ht="14.25" customHeight="1"/>
    <row r="5" spans="1:16" ht="16.5" customHeight="1">
      <c r="A5" s="1123" t="s">
        <v>679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</row>
    <row r="6" spans="1:16" ht="13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6" ht="0.75" customHeight="1"/>
    <row r="8" spans="1:16">
      <c r="A8" s="1122" t="s">
        <v>666</v>
      </c>
      <c r="B8" s="1122"/>
      <c r="C8" s="197"/>
      <c r="H8" s="1136" t="s">
        <v>772</v>
      </c>
      <c r="I8" s="1136"/>
      <c r="J8" s="1136"/>
    </row>
    <row r="9" spans="1:16">
      <c r="A9" s="935" t="s">
        <v>2</v>
      </c>
      <c r="B9" s="935" t="s">
        <v>33</v>
      </c>
      <c r="C9" s="1126" t="s">
        <v>582</v>
      </c>
      <c r="D9" s="1126"/>
      <c r="E9" s="1126" t="s">
        <v>123</v>
      </c>
      <c r="F9" s="1126"/>
      <c r="G9" s="1126" t="s">
        <v>583</v>
      </c>
      <c r="H9" s="1126"/>
      <c r="I9" s="1126" t="s">
        <v>124</v>
      </c>
      <c r="J9" s="1126"/>
      <c r="K9" s="1126" t="s">
        <v>125</v>
      </c>
      <c r="L9" s="1126"/>
      <c r="O9" s="139"/>
      <c r="P9" s="140"/>
    </row>
    <row r="10" spans="1:16" ht="53.25" customHeight="1">
      <c r="A10" s="935"/>
      <c r="B10" s="935"/>
      <c r="C10" s="184" t="s">
        <v>584</v>
      </c>
      <c r="D10" s="184" t="s">
        <v>585</v>
      </c>
      <c r="E10" s="184" t="s">
        <v>586</v>
      </c>
      <c r="F10" s="184" t="s">
        <v>587</v>
      </c>
      <c r="G10" s="184" t="s">
        <v>586</v>
      </c>
      <c r="H10" s="184" t="s">
        <v>587</v>
      </c>
      <c r="I10" s="184" t="s">
        <v>584</v>
      </c>
      <c r="J10" s="184" t="s">
        <v>585</v>
      </c>
      <c r="K10" s="184" t="s">
        <v>584</v>
      </c>
      <c r="L10" s="184" t="s">
        <v>585</v>
      </c>
    </row>
    <row r="11" spans="1:16">
      <c r="A11" s="184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4">
        <v>11</v>
      </c>
      <c r="L11" s="184">
        <v>12</v>
      </c>
    </row>
    <row r="12" spans="1:16">
      <c r="A12" s="204">
        <v>1</v>
      </c>
      <c r="B12" s="204" t="s">
        <v>624</v>
      </c>
      <c r="C12" s="1127" t="s">
        <v>629</v>
      </c>
      <c r="D12" s="1128"/>
      <c r="E12" s="1128"/>
      <c r="F12" s="1128"/>
      <c r="G12" s="1128"/>
      <c r="H12" s="1128"/>
      <c r="I12" s="1128"/>
      <c r="J12" s="1128"/>
      <c r="K12" s="1128"/>
      <c r="L12" s="1129"/>
    </row>
    <row r="13" spans="1:16">
      <c r="A13" s="204">
        <f>A12+1</f>
        <v>2</v>
      </c>
      <c r="B13" s="204" t="s">
        <v>589</v>
      </c>
      <c r="C13" s="1130"/>
      <c r="D13" s="1131"/>
      <c r="E13" s="1131"/>
      <c r="F13" s="1131"/>
      <c r="G13" s="1131"/>
      <c r="H13" s="1131"/>
      <c r="I13" s="1131"/>
      <c r="J13" s="1131"/>
      <c r="K13" s="1131"/>
      <c r="L13" s="1132"/>
    </row>
    <row r="14" spans="1:16">
      <c r="A14" s="204">
        <f t="shared" ref="A14:A44" si="0">A13+1</f>
        <v>3</v>
      </c>
      <c r="B14" s="204" t="s">
        <v>625</v>
      </c>
      <c r="C14" s="1130"/>
      <c r="D14" s="1131"/>
      <c r="E14" s="1131"/>
      <c r="F14" s="1131"/>
      <c r="G14" s="1131"/>
      <c r="H14" s="1131"/>
      <c r="I14" s="1131"/>
      <c r="J14" s="1131"/>
      <c r="K14" s="1131"/>
      <c r="L14" s="1132"/>
    </row>
    <row r="15" spans="1:16">
      <c r="A15" s="204">
        <f t="shared" si="0"/>
        <v>4</v>
      </c>
      <c r="B15" s="204" t="s">
        <v>590</v>
      </c>
      <c r="C15" s="1130"/>
      <c r="D15" s="1131"/>
      <c r="E15" s="1131"/>
      <c r="F15" s="1131"/>
      <c r="G15" s="1131"/>
      <c r="H15" s="1131"/>
      <c r="I15" s="1131"/>
      <c r="J15" s="1131"/>
      <c r="K15" s="1131"/>
      <c r="L15" s="1132"/>
    </row>
    <row r="16" spans="1:16">
      <c r="A16" s="204">
        <f t="shared" si="0"/>
        <v>5</v>
      </c>
      <c r="B16" s="204" t="s">
        <v>591</v>
      </c>
      <c r="C16" s="1130"/>
      <c r="D16" s="1131"/>
      <c r="E16" s="1131"/>
      <c r="F16" s="1131"/>
      <c r="G16" s="1131"/>
      <c r="H16" s="1131"/>
      <c r="I16" s="1131"/>
      <c r="J16" s="1131"/>
      <c r="K16" s="1131"/>
      <c r="L16" s="1132"/>
    </row>
    <row r="17" spans="1:12">
      <c r="A17" s="204">
        <f t="shared" si="0"/>
        <v>6</v>
      </c>
      <c r="B17" s="204" t="s">
        <v>592</v>
      </c>
      <c r="C17" s="1130"/>
      <c r="D17" s="1131"/>
      <c r="E17" s="1131"/>
      <c r="F17" s="1131"/>
      <c r="G17" s="1131"/>
      <c r="H17" s="1131"/>
      <c r="I17" s="1131"/>
      <c r="J17" s="1131"/>
      <c r="K17" s="1131"/>
      <c r="L17" s="1132"/>
    </row>
    <row r="18" spans="1:12">
      <c r="A18" s="204">
        <f t="shared" si="0"/>
        <v>7</v>
      </c>
      <c r="B18" s="204" t="s">
        <v>593</v>
      </c>
      <c r="C18" s="1130"/>
      <c r="D18" s="1131"/>
      <c r="E18" s="1131"/>
      <c r="F18" s="1131"/>
      <c r="G18" s="1131"/>
      <c r="H18" s="1131"/>
      <c r="I18" s="1131"/>
      <c r="J18" s="1131"/>
      <c r="K18" s="1131"/>
      <c r="L18" s="1132"/>
    </row>
    <row r="19" spans="1:12">
      <c r="A19" s="204">
        <f t="shared" si="0"/>
        <v>8</v>
      </c>
      <c r="B19" s="204" t="s">
        <v>594</v>
      </c>
      <c r="C19" s="1130"/>
      <c r="D19" s="1131"/>
      <c r="E19" s="1131"/>
      <c r="F19" s="1131"/>
      <c r="G19" s="1131"/>
      <c r="H19" s="1131"/>
      <c r="I19" s="1131"/>
      <c r="J19" s="1131"/>
      <c r="K19" s="1131"/>
      <c r="L19" s="1132"/>
    </row>
    <row r="20" spans="1:12">
      <c r="A20" s="204">
        <f t="shared" si="0"/>
        <v>9</v>
      </c>
      <c r="B20" s="204" t="s">
        <v>595</v>
      </c>
      <c r="C20" s="1130"/>
      <c r="D20" s="1131"/>
      <c r="E20" s="1131"/>
      <c r="F20" s="1131"/>
      <c r="G20" s="1131"/>
      <c r="H20" s="1131"/>
      <c r="I20" s="1131"/>
      <c r="J20" s="1131"/>
      <c r="K20" s="1131"/>
      <c r="L20" s="1132"/>
    </row>
    <row r="21" spans="1:12">
      <c r="A21" s="204">
        <f t="shared" si="0"/>
        <v>10</v>
      </c>
      <c r="B21" s="204" t="s">
        <v>596</v>
      </c>
      <c r="C21" s="1130"/>
      <c r="D21" s="1131"/>
      <c r="E21" s="1131"/>
      <c r="F21" s="1131"/>
      <c r="G21" s="1131"/>
      <c r="H21" s="1131"/>
      <c r="I21" s="1131"/>
      <c r="J21" s="1131"/>
      <c r="K21" s="1131"/>
      <c r="L21" s="1132"/>
    </row>
    <row r="22" spans="1:12">
      <c r="A22" s="204">
        <f t="shared" si="0"/>
        <v>11</v>
      </c>
      <c r="B22" s="204" t="s">
        <v>626</v>
      </c>
      <c r="C22" s="1130"/>
      <c r="D22" s="1131"/>
      <c r="E22" s="1131"/>
      <c r="F22" s="1131"/>
      <c r="G22" s="1131"/>
      <c r="H22" s="1131"/>
      <c r="I22" s="1131"/>
      <c r="J22" s="1131"/>
      <c r="K22" s="1131"/>
      <c r="L22" s="1132"/>
    </row>
    <row r="23" spans="1:12">
      <c r="A23" s="204">
        <f t="shared" si="0"/>
        <v>12</v>
      </c>
      <c r="B23" s="204" t="s">
        <v>597</v>
      </c>
      <c r="C23" s="1130"/>
      <c r="D23" s="1131"/>
      <c r="E23" s="1131"/>
      <c r="F23" s="1131"/>
      <c r="G23" s="1131"/>
      <c r="H23" s="1131"/>
      <c r="I23" s="1131"/>
      <c r="J23" s="1131"/>
      <c r="K23" s="1131"/>
      <c r="L23" s="1132"/>
    </row>
    <row r="24" spans="1:12">
      <c r="A24" s="204">
        <f t="shared" si="0"/>
        <v>13</v>
      </c>
      <c r="B24" s="204" t="s">
        <v>598</v>
      </c>
      <c r="C24" s="1130"/>
      <c r="D24" s="1131"/>
      <c r="E24" s="1131"/>
      <c r="F24" s="1131"/>
      <c r="G24" s="1131"/>
      <c r="H24" s="1131"/>
      <c r="I24" s="1131"/>
      <c r="J24" s="1131"/>
      <c r="K24" s="1131"/>
      <c r="L24" s="1132"/>
    </row>
    <row r="25" spans="1:12">
      <c r="A25" s="204">
        <f t="shared" si="0"/>
        <v>14</v>
      </c>
      <c r="B25" s="204" t="s">
        <v>627</v>
      </c>
      <c r="C25" s="1130"/>
      <c r="D25" s="1131"/>
      <c r="E25" s="1131"/>
      <c r="F25" s="1131"/>
      <c r="G25" s="1131"/>
      <c r="H25" s="1131"/>
      <c r="I25" s="1131"/>
      <c r="J25" s="1131"/>
      <c r="K25" s="1131"/>
      <c r="L25" s="1132"/>
    </row>
    <row r="26" spans="1:12">
      <c r="A26" s="204">
        <f t="shared" si="0"/>
        <v>15</v>
      </c>
      <c r="B26" s="204" t="s">
        <v>599</v>
      </c>
      <c r="C26" s="1130"/>
      <c r="D26" s="1131"/>
      <c r="E26" s="1131"/>
      <c r="F26" s="1131"/>
      <c r="G26" s="1131"/>
      <c r="H26" s="1131"/>
      <c r="I26" s="1131"/>
      <c r="J26" s="1131"/>
      <c r="K26" s="1131"/>
      <c r="L26" s="1132"/>
    </row>
    <row r="27" spans="1:12">
      <c r="A27" s="204">
        <f t="shared" si="0"/>
        <v>16</v>
      </c>
      <c r="B27" s="204" t="s">
        <v>600</v>
      </c>
      <c r="C27" s="1130"/>
      <c r="D27" s="1131"/>
      <c r="E27" s="1131"/>
      <c r="F27" s="1131"/>
      <c r="G27" s="1131"/>
      <c r="H27" s="1131"/>
      <c r="I27" s="1131"/>
      <c r="J27" s="1131"/>
      <c r="K27" s="1131"/>
      <c r="L27" s="1132"/>
    </row>
    <row r="28" spans="1:12" s="427" customFormat="1">
      <c r="A28" s="204">
        <f t="shared" si="0"/>
        <v>17</v>
      </c>
      <c r="B28" s="426" t="s">
        <v>684</v>
      </c>
      <c r="C28" s="1130"/>
      <c r="D28" s="1131"/>
      <c r="E28" s="1131"/>
      <c r="F28" s="1131"/>
      <c r="G28" s="1131"/>
      <c r="H28" s="1131"/>
      <c r="I28" s="1131"/>
      <c r="J28" s="1131"/>
      <c r="K28" s="1131"/>
      <c r="L28" s="1132"/>
    </row>
    <row r="29" spans="1:12">
      <c r="A29" s="204">
        <f t="shared" si="0"/>
        <v>18</v>
      </c>
      <c r="B29" s="204" t="s">
        <v>601</v>
      </c>
      <c r="C29" s="1130"/>
      <c r="D29" s="1131"/>
      <c r="E29" s="1131"/>
      <c r="F29" s="1131"/>
      <c r="G29" s="1131"/>
      <c r="H29" s="1131"/>
      <c r="I29" s="1131"/>
      <c r="J29" s="1131"/>
      <c r="K29" s="1131"/>
      <c r="L29" s="1132"/>
    </row>
    <row r="30" spans="1:12">
      <c r="A30" s="204">
        <f t="shared" si="0"/>
        <v>19</v>
      </c>
      <c r="B30" s="204" t="s">
        <v>602</v>
      </c>
      <c r="C30" s="1130"/>
      <c r="D30" s="1131"/>
      <c r="E30" s="1131"/>
      <c r="F30" s="1131"/>
      <c r="G30" s="1131"/>
      <c r="H30" s="1131"/>
      <c r="I30" s="1131"/>
      <c r="J30" s="1131"/>
      <c r="K30" s="1131"/>
      <c r="L30" s="1132"/>
    </row>
    <row r="31" spans="1:12" s="427" customFormat="1">
      <c r="A31" s="204">
        <f t="shared" si="0"/>
        <v>20</v>
      </c>
      <c r="B31" s="426" t="s">
        <v>683</v>
      </c>
      <c r="C31" s="1130"/>
      <c r="D31" s="1131"/>
      <c r="E31" s="1131"/>
      <c r="F31" s="1131"/>
      <c r="G31" s="1131"/>
      <c r="H31" s="1131"/>
      <c r="I31" s="1131"/>
      <c r="J31" s="1131"/>
      <c r="K31" s="1131"/>
      <c r="L31" s="1132"/>
    </row>
    <row r="32" spans="1:12">
      <c r="A32" s="204">
        <f t="shared" si="0"/>
        <v>21</v>
      </c>
      <c r="B32" s="204" t="s">
        <v>628</v>
      </c>
      <c r="C32" s="1130"/>
      <c r="D32" s="1131"/>
      <c r="E32" s="1131"/>
      <c r="F32" s="1131"/>
      <c r="G32" s="1131"/>
      <c r="H32" s="1131"/>
      <c r="I32" s="1131"/>
      <c r="J32" s="1131"/>
      <c r="K32" s="1131"/>
      <c r="L32" s="1132"/>
    </row>
    <row r="33" spans="1:12">
      <c r="A33" s="204">
        <f t="shared" si="0"/>
        <v>22</v>
      </c>
      <c r="B33" s="204" t="s">
        <v>603</v>
      </c>
      <c r="C33" s="1130"/>
      <c r="D33" s="1131"/>
      <c r="E33" s="1131"/>
      <c r="F33" s="1131"/>
      <c r="G33" s="1131"/>
      <c r="H33" s="1131"/>
      <c r="I33" s="1131"/>
      <c r="J33" s="1131"/>
      <c r="K33" s="1131"/>
      <c r="L33" s="1132"/>
    </row>
    <row r="34" spans="1:12">
      <c r="A34" s="204">
        <f t="shared" si="0"/>
        <v>23</v>
      </c>
      <c r="B34" s="204" t="s">
        <v>604</v>
      </c>
      <c r="C34" s="1130"/>
      <c r="D34" s="1131"/>
      <c r="E34" s="1131"/>
      <c r="F34" s="1131"/>
      <c r="G34" s="1131"/>
      <c r="H34" s="1131"/>
      <c r="I34" s="1131"/>
      <c r="J34" s="1131"/>
      <c r="K34" s="1131"/>
      <c r="L34" s="1132"/>
    </row>
    <row r="35" spans="1:12">
      <c r="A35" s="204">
        <f t="shared" si="0"/>
        <v>24</v>
      </c>
      <c r="B35" s="204" t="s">
        <v>605</v>
      </c>
      <c r="C35" s="1130"/>
      <c r="D35" s="1131"/>
      <c r="E35" s="1131"/>
      <c r="F35" s="1131"/>
      <c r="G35" s="1131"/>
      <c r="H35" s="1131"/>
      <c r="I35" s="1131"/>
      <c r="J35" s="1131"/>
      <c r="K35" s="1131"/>
      <c r="L35" s="1132"/>
    </row>
    <row r="36" spans="1:12">
      <c r="A36" s="204">
        <f t="shared" si="0"/>
        <v>25</v>
      </c>
      <c r="B36" s="204" t="s">
        <v>606</v>
      </c>
      <c r="C36" s="1130"/>
      <c r="D36" s="1131"/>
      <c r="E36" s="1131"/>
      <c r="F36" s="1131"/>
      <c r="G36" s="1131"/>
      <c r="H36" s="1131"/>
      <c r="I36" s="1131"/>
      <c r="J36" s="1131"/>
      <c r="K36" s="1131"/>
      <c r="L36" s="1132"/>
    </row>
    <row r="37" spans="1:12">
      <c r="A37" s="204">
        <f t="shared" si="0"/>
        <v>26</v>
      </c>
      <c r="B37" s="204" t="s">
        <v>607</v>
      </c>
      <c r="C37" s="1130"/>
      <c r="D37" s="1131"/>
      <c r="E37" s="1131"/>
      <c r="F37" s="1131"/>
      <c r="G37" s="1131"/>
      <c r="H37" s="1131"/>
      <c r="I37" s="1131"/>
      <c r="J37" s="1131"/>
      <c r="K37" s="1131"/>
      <c r="L37" s="1132"/>
    </row>
    <row r="38" spans="1:12">
      <c r="A38" s="204">
        <f t="shared" si="0"/>
        <v>27</v>
      </c>
      <c r="B38" s="204" t="s">
        <v>608</v>
      </c>
      <c r="C38" s="1130"/>
      <c r="D38" s="1131"/>
      <c r="E38" s="1131"/>
      <c r="F38" s="1131"/>
      <c r="G38" s="1131"/>
      <c r="H38" s="1131"/>
      <c r="I38" s="1131"/>
      <c r="J38" s="1131"/>
      <c r="K38" s="1131"/>
      <c r="L38" s="1132"/>
    </row>
    <row r="39" spans="1:12">
      <c r="A39" s="204">
        <f t="shared" si="0"/>
        <v>28</v>
      </c>
      <c r="B39" s="204" t="s">
        <v>609</v>
      </c>
      <c r="C39" s="1130"/>
      <c r="D39" s="1131"/>
      <c r="E39" s="1131"/>
      <c r="F39" s="1131"/>
      <c r="G39" s="1131"/>
      <c r="H39" s="1131"/>
      <c r="I39" s="1131"/>
      <c r="J39" s="1131"/>
      <c r="K39" s="1131"/>
      <c r="L39" s="1132"/>
    </row>
    <row r="40" spans="1:12">
      <c r="A40" s="204">
        <f t="shared" si="0"/>
        <v>29</v>
      </c>
      <c r="B40" s="204" t="s">
        <v>610</v>
      </c>
      <c r="C40" s="1130"/>
      <c r="D40" s="1131"/>
      <c r="E40" s="1131"/>
      <c r="F40" s="1131"/>
      <c r="G40" s="1131"/>
      <c r="H40" s="1131"/>
      <c r="I40" s="1131"/>
      <c r="J40" s="1131"/>
      <c r="K40" s="1131"/>
      <c r="L40" s="1132"/>
    </row>
    <row r="41" spans="1:12">
      <c r="A41" s="204">
        <f t="shared" si="0"/>
        <v>30</v>
      </c>
      <c r="B41" s="143" t="s">
        <v>611</v>
      </c>
      <c r="C41" s="1130"/>
      <c r="D41" s="1131"/>
      <c r="E41" s="1131"/>
      <c r="F41" s="1131"/>
      <c r="G41" s="1131"/>
      <c r="H41" s="1131"/>
      <c r="I41" s="1131"/>
      <c r="J41" s="1131"/>
      <c r="K41" s="1131"/>
      <c r="L41" s="1132"/>
    </row>
    <row r="42" spans="1:12">
      <c r="A42" s="204">
        <f t="shared" si="0"/>
        <v>31</v>
      </c>
      <c r="B42" s="143" t="s">
        <v>612</v>
      </c>
      <c r="C42" s="1130"/>
      <c r="D42" s="1131"/>
      <c r="E42" s="1131"/>
      <c r="F42" s="1131"/>
      <c r="G42" s="1131"/>
      <c r="H42" s="1131"/>
      <c r="I42" s="1131"/>
      <c r="J42" s="1131"/>
      <c r="K42" s="1131"/>
      <c r="L42" s="1132"/>
    </row>
    <row r="43" spans="1:12">
      <c r="A43" s="204">
        <f t="shared" si="0"/>
        <v>32</v>
      </c>
      <c r="B43" s="143" t="s">
        <v>613</v>
      </c>
      <c r="C43" s="1130"/>
      <c r="D43" s="1131"/>
      <c r="E43" s="1131"/>
      <c r="F43" s="1131"/>
      <c r="G43" s="1131"/>
      <c r="H43" s="1131"/>
      <c r="I43" s="1131"/>
      <c r="J43" s="1131"/>
      <c r="K43" s="1131"/>
      <c r="L43" s="1132"/>
    </row>
    <row r="44" spans="1:12">
      <c r="A44" s="204">
        <f t="shared" si="0"/>
        <v>33</v>
      </c>
      <c r="B44" s="143" t="s">
        <v>614</v>
      </c>
      <c r="C44" s="1130"/>
      <c r="D44" s="1131"/>
      <c r="E44" s="1131"/>
      <c r="F44" s="1131"/>
      <c r="G44" s="1131"/>
      <c r="H44" s="1131"/>
      <c r="I44" s="1131"/>
      <c r="J44" s="1131"/>
      <c r="K44" s="1131"/>
      <c r="L44" s="1132"/>
    </row>
    <row r="45" spans="1:12">
      <c r="A45" s="151"/>
      <c r="B45" s="151" t="s">
        <v>615</v>
      </c>
      <c r="C45" s="1133"/>
      <c r="D45" s="1134"/>
      <c r="E45" s="1134"/>
      <c r="F45" s="1134"/>
      <c r="G45" s="1134"/>
      <c r="H45" s="1134"/>
      <c r="I45" s="1134"/>
      <c r="J45" s="1134"/>
      <c r="K45" s="1134"/>
      <c r="L45" s="1135"/>
    </row>
    <row r="46" spans="1:12">
      <c r="A46" s="43"/>
      <c r="B46" s="59"/>
      <c r="C46" s="59"/>
      <c r="D46" s="140"/>
      <c r="E46" s="140"/>
      <c r="F46" s="140"/>
      <c r="G46" s="140"/>
      <c r="H46" s="140"/>
      <c r="I46" s="140"/>
      <c r="J46" s="140"/>
    </row>
    <row r="47" spans="1:12">
      <c r="A47" s="43"/>
      <c r="B47" s="59"/>
      <c r="C47" s="59"/>
      <c r="D47" s="140"/>
      <c r="E47" s="140"/>
      <c r="F47" s="140"/>
      <c r="G47" s="140"/>
      <c r="H47" s="140"/>
      <c r="I47" s="140"/>
      <c r="J47" s="140"/>
    </row>
    <row r="50" spans="1:12">
      <c r="A50" s="1125"/>
      <c r="B50" s="1125"/>
      <c r="C50" s="1125"/>
      <c r="D50" s="1125"/>
      <c r="E50" s="1125"/>
      <c r="F50" s="1125"/>
      <c r="G50" s="1125"/>
      <c r="H50" s="1125"/>
      <c r="I50" s="1125"/>
      <c r="J50" s="1125"/>
    </row>
    <row r="51" spans="1:12" ht="15.75">
      <c r="H51" s="761" t="s">
        <v>908</v>
      </c>
      <c r="I51" s="761"/>
      <c r="J51" s="761"/>
      <c r="K51" s="761"/>
      <c r="L51" s="761"/>
    </row>
    <row r="52" spans="1:12" ht="15.75">
      <c r="H52" s="761" t="s">
        <v>646</v>
      </c>
      <c r="I52" s="761"/>
      <c r="J52" s="761"/>
      <c r="K52" s="761"/>
      <c r="L52" s="761"/>
    </row>
  </sheetData>
  <mergeCells count="17">
    <mergeCell ref="H51:L51"/>
    <mergeCell ref="H52:L52"/>
    <mergeCell ref="A50:J50"/>
    <mergeCell ref="A9:A10"/>
    <mergeCell ref="B9:B10"/>
    <mergeCell ref="C9:D9"/>
    <mergeCell ref="E9:F9"/>
    <mergeCell ref="G9:H9"/>
    <mergeCell ref="I9:J9"/>
    <mergeCell ref="K9:L9"/>
    <mergeCell ref="C12:L45"/>
    <mergeCell ref="E1:I1"/>
    <mergeCell ref="A2:J2"/>
    <mergeCell ref="A3:J3"/>
    <mergeCell ref="A8:B8"/>
    <mergeCell ref="H8:J8"/>
    <mergeCell ref="A5:L5"/>
  </mergeCells>
  <printOptions horizontalCentered="1"/>
  <pageMargins left="0.32" right="0.41" top="0.43" bottom="0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topLeftCell="A31" zoomScale="85" zoomScaleNormal="70" zoomScaleSheetLayoutView="85" workbookViewId="0">
      <selection activeCell="A52" sqref="A52:M52"/>
    </sheetView>
  </sheetViews>
  <sheetFormatPr defaultRowHeight="12.75"/>
  <cols>
    <col min="1" max="1" width="8" style="173" customWidth="1"/>
    <col min="2" max="2" width="18.5703125" style="173" customWidth="1"/>
    <col min="3" max="3" width="9.7109375" style="173" customWidth="1"/>
    <col min="4" max="4" width="9.140625" style="173"/>
    <col min="5" max="5" width="9.5703125" style="173" customWidth="1"/>
    <col min="6" max="6" width="9.7109375" style="173" customWidth="1"/>
    <col min="7" max="7" width="10" style="173" customWidth="1"/>
    <col min="8" max="8" width="9.85546875" style="173" customWidth="1"/>
    <col min="9" max="9" width="9.140625" style="173"/>
    <col min="10" max="10" width="10.7109375" style="173" customWidth="1"/>
    <col min="11" max="11" width="8.85546875" style="173" customWidth="1"/>
    <col min="12" max="12" width="9.85546875" style="173" customWidth="1"/>
    <col min="13" max="13" width="8.85546875" style="173" customWidth="1"/>
    <col min="14" max="14" width="13.85546875" style="173" customWidth="1"/>
    <col min="15" max="16384" width="9.140625" style="173"/>
  </cols>
  <sheetData>
    <row r="1" spans="1:19" ht="12.75" customHeight="1">
      <c r="D1" s="700"/>
      <c r="E1" s="700"/>
      <c r="F1" s="700"/>
      <c r="G1" s="700"/>
      <c r="H1" s="700"/>
      <c r="I1" s="700"/>
      <c r="L1" s="794" t="s">
        <v>83</v>
      </c>
      <c r="M1" s="794"/>
    </row>
    <row r="2" spans="1:19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</row>
    <row r="3" spans="1:19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19" ht="4.5" customHeight="1"/>
    <row r="5" spans="1:19" ht="15.75">
      <c r="A5" s="702" t="s">
        <v>765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</row>
    <row r="6" spans="1:19" ht="7.5" customHeight="1"/>
    <row r="7" spans="1:19" s="5" customFormat="1">
      <c r="A7" s="21" t="s">
        <v>658</v>
      </c>
      <c r="B7" s="21"/>
    </row>
    <row r="8" spans="1:19">
      <c r="A8" s="141"/>
      <c r="B8" s="141"/>
      <c r="K8" s="46"/>
      <c r="L8" s="356" t="s">
        <v>774</v>
      </c>
      <c r="M8" s="46"/>
      <c r="N8" s="380"/>
    </row>
    <row r="9" spans="1:19" ht="15.75" customHeight="1">
      <c r="A9" s="795" t="s">
        <v>2</v>
      </c>
      <c r="B9" s="795" t="s">
        <v>3</v>
      </c>
      <c r="C9" s="695" t="s">
        <v>4</v>
      </c>
      <c r="D9" s="695"/>
      <c r="E9" s="695"/>
      <c r="F9" s="681"/>
      <c r="G9" s="798"/>
      <c r="H9" s="743" t="s">
        <v>97</v>
      </c>
      <c r="I9" s="743"/>
      <c r="J9" s="743"/>
      <c r="K9" s="743"/>
      <c r="L9" s="743"/>
      <c r="M9" s="795" t="s">
        <v>130</v>
      </c>
      <c r="N9" s="668" t="s">
        <v>131</v>
      </c>
    </row>
    <row r="10" spans="1:19" ht="38.25">
      <c r="A10" s="796"/>
      <c r="B10" s="796"/>
      <c r="C10" s="357" t="s">
        <v>5</v>
      </c>
      <c r="D10" s="150" t="s">
        <v>6</v>
      </c>
      <c r="E10" s="150" t="s">
        <v>347</v>
      </c>
      <c r="F10" s="152" t="s">
        <v>95</v>
      </c>
      <c r="G10" s="2" t="s">
        <v>348</v>
      </c>
      <c r="H10" s="150" t="s">
        <v>5</v>
      </c>
      <c r="I10" s="150" t="s">
        <v>6</v>
      </c>
      <c r="J10" s="150" t="s">
        <v>347</v>
      </c>
      <c r="K10" s="152" t="s">
        <v>95</v>
      </c>
      <c r="L10" s="152" t="s">
        <v>349</v>
      </c>
      <c r="M10" s="796"/>
      <c r="N10" s="668"/>
      <c r="R10" s="10"/>
      <c r="S10" s="10"/>
    </row>
    <row r="11" spans="1:19" s="5" customFormat="1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  <c r="M11" s="150">
        <v>13</v>
      </c>
      <c r="N11" s="150">
        <v>14</v>
      </c>
    </row>
    <row r="12" spans="1:19">
      <c r="A12" s="204">
        <v>1</v>
      </c>
      <c r="B12" s="204" t="s">
        <v>624</v>
      </c>
      <c r="C12" s="546">
        <v>928</v>
      </c>
      <c r="D12" s="546">
        <v>2</v>
      </c>
      <c r="E12" s="546">
        <v>0</v>
      </c>
      <c r="F12" s="546">
        <v>6</v>
      </c>
      <c r="G12" s="206">
        <f>SUM(C12:F12)</f>
        <v>936</v>
      </c>
      <c r="H12" s="8">
        <v>921</v>
      </c>
      <c r="I12" s="8">
        <v>2</v>
      </c>
      <c r="J12" s="546">
        <v>0</v>
      </c>
      <c r="K12" s="8">
        <v>6</v>
      </c>
      <c r="L12" s="8">
        <f>SUM(H12:K12)</f>
        <v>929</v>
      </c>
      <c r="M12" s="8">
        <f>G12-L12</f>
        <v>7</v>
      </c>
      <c r="N12" s="8" t="s">
        <v>886</v>
      </c>
    </row>
    <row r="13" spans="1:19">
      <c r="A13" s="204">
        <f>A12+1</f>
        <v>2</v>
      </c>
      <c r="B13" s="204" t="s">
        <v>589</v>
      </c>
      <c r="C13" s="546">
        <v>1005</v>
      </c>
      <c r="D13" s="546">
        <v>17</v>
      </c>
      <c r="E13" s="546">
        <v>14</v>
      </c>
      <c r="F13" s="546">
        <v>0</v>
      </c>
      <c r="G13" s="206">
        <f t="shared" ref="G13:G44" si="0">SUM(C13:F13)</f>
        <v>1036</v>
      </c>
      <c r="H13" s="8">
        <v>998</v>
      </c>
      <c r="I13" s="8">
        <v>17</v>
      </c>
      <c r="J13" s="8">
        <v>14</v>
      </c>
      <c r="K13" s="546">
        <v>0</v>
      </c>
      <c r="L13" s="8">
        <f t="shared" ref="L13:L26" si="1">SUM(H13:K13)</f>
        <v>1029</v>
      </c>
      <c r="M13" s="8">
        <f t="shared" ref="M13:M26" si="2">G13-L13</f>
        <v>7</v>
      </c>
      <c r="N13" s="546" t="s">
        <v>886</v>
      </c>
      <c r="P13" s="579"/>
      <c r="Q13" s="543"/>
    </row>
    <row r="14" spans="1:19" s="394" customFormat="1">
      <c r="A14" s="204">
        <f t="shared" ref="A14:A44" si="3">A13+1</f>
        <v>3</v>
      </c>
      <c r="B14" s="204" t="s">
        <v>625</v>
      </c>
      <c r="C14" s="390">
        <v>498</v>
      </c>
      <c r="D14" s="390">
        <v>111</v>
      </c>
      <c r="E14" s="546">
        <v>0</v>
      </c>
      <c r="F14" s="390">
        <v>2</v>
      </c>
      <c r="G14" s="206">
        <f t="shared" si="0"/>
        <v>611</v>
      </c>
      <c r="H14" s="390">
        <v>495</v>
      </c>
      <c r="I14" s="390">
        <v>80</v>
      </c>
      <c r="J14" s="390">
        <v>0</v>
      </c>
      <c r="K14" s="390">
        <v>0</v>
      </c>
      <c r="L14" s="546">
        <v>575</v>
      </c>
      <c r="M14" s="390">
        <f t="shared" si="2"/>
        <v>36</v>
      </c>
      <c r="N14" s="546" t="s">
        <v>889</v>
      </c>
      <c r="P14" s="579"/>
      <c r="Q14" s="543"/>
    </row>
    <row r="15" spans="1:19">
      <c r="A15" s="204">
        <f t="shared" si="3"/>
        <v>4</v>
      </c>
      <c r="B15" s="204" t="s">
        <v>590</v>
      </c>
      <c r="C15" s="546">
        <v>511</v>
      </c>
      <c r="D15" s="546">
        <v>1</v>
      </c>
      <c r="E15" s="546">
        <v>0</v>
      </c>
      <c r="F15" s="546">
        <v>4</v>
      </c>
      <c r="G15" s="206">
        <f t="shared" si="0"/>
        <v>516</v>
      </c>
      <c r="H15" s="8">
        <v>482</v>
      </c>
      <c r="I15" s="8">
        <v>1</v>
      </c>
      <c r="J15" s="546">
        <v>0</v>
      </c>
      <c r="K15" s="8">
        <v>4</v>
      </c>
      <c r="L15" s="546">
        <f t="shared" si="1"/>
        <v>487</v>
      </c>
      <c r="M15" s="390">
        <f t="shared" si="2"/>
        <v>29</v>
      </c>
      <c r="N15" s="546" t="s">
        <v>886</v>
      </c>
      <c r="P15" s="579"/>
      <c r="Q15" s="543"/>
    </row>
    <row r="16" spans="1:19">
      <c r="A16" s="204">
        <f t="shared" si="3"/>
        <v>5</v>
      </c>
      <c r="B16" s="204" t="s">
        <v>591</v>
      </c>
      <c r="C16" s="546">
        <v>356</v>
      </c>
      <c r="D16" s="546">
        <v>6</v>
      </c>
      <c r="E16" s="546">
        <v>0</v>
      </c>
      <c r="F16" s="546">
        <v>0</v>
      </c>
      <c r="G16" s="206">
        <f t="shared" si="0"/>
        <v>362</v>
      </c>
      <c r="H16" s="8">
        <v>313</v>
      </c>
      <c r="I16" s="8">
        <v>6</v>
      </c>
      <c r="J16" s="546">
        <v>0</v>
      </c>
      <c r="K16" s="546">
        <v>0</v>
      </c>
      <c r="L16" s="546">
        <f t="shared" si="1"/>
        <v>319</v>
      </c>
      <c r="M16" s="390">
        <f t="shared" si="2"/>
        <v>43</v>
      </c>
      <c r="N16" s="546" t="s">
        <v>886</v>
      </c>
      <c r="P16" s="579"/>
      <c r="Q16" s="543"/>
    </row>
    <row r="17" spans="1:17">
      <c r="A17" s="204">
        <f t="shared" si="3"/>
        <v>6</v>
      </c>
      <c r="B17" s="204" t="s">
        <v>592</v>
      </c>
      <c r="C17" s="546">
        <v>319</v>
      </c>
      <c r="D17" s="546">
        <v>0</v>
      </c>
      <c r="E17" s="546">
        <v>0</v>
      </c>
      <c r="F17" s="546">
        <v>1</v>
      </c>
      <c r="G17" s="206">
        <f t="shared" si="0"/>
        <v>320</v>
      </c>
      <c r="H17" s="8">
        <v>297</v>
      </c>
      <c r="I17" s="546">
        <v>0</v>
      </c>
      <c r="J17" s="546">
        <v>0</v>
      </c>
      <c r="K17" s="8">
        <v>1</v>
      </c>
      <c r="L17" s="546">
        <f t="shared" si="1"/>
        <v>298</v>
      </c>
      <c r="M17" s="390">
        <f t="shared" si="2"/>
        <v>22</v>
      </c>
      <c r="N17" s="546" t="s">
        <v>886</v>
      </c>
      <c r="P17" s="579"/>
      <c r="Q17" s="543"/>
    </row>
    <row r="18" spans="1:17">
      <c r="A18" s="204">
        <f t="shared" si="3"/>
        <v>7</v>
      </c>
      <c r="B18" s="204" t="s">
        <v>593</v>
      </c>
      <c r="C18" s="546">
        <v>289</v>
      </c>
      <c r="D18" s="546">
        <v>0</v>
      </c>
      <c r="E18" s="546">
        <v>0</v>
      </c>
      <c r="F18" s="546">
        <v>0</v>
      </c>
      <c r="G18" s="206">
        <f t="shared" si="0"/>
        <v>289</v>
      </c>
      <c r="H18" s="8">
        <v>287</v>
      </c>
      <c r="I18" s="546">
        <v>0</v>
      </c>
      <c r="J18" s="546">
        <v>0</v>
      </c>
      <c r="K18" s="546">
        <v>0</v>
      </c>
      <c r="L18" s="546">
        <f t="shared" si="1"/>
        <v>287</v>
      </c>
      <c r="M18" s="390">
        <f t="shared" si="2"/>
        <v>2</v>
      </c>
      <c r="N18" s="546" t="s">
        <v>886</v>
      </c>
      <c r="P18" s="579"/>
      <c r="Q18" s="543"/>
    </row>
    <row r="19" spans="1:17">
      <c r="A19" s="204">
        <f t="shared" si="3"/>
        <v>8</v>
      </c>
      <c r="B19" s="204" t="s">
        <v>594</v>
      </c>
      <c r="C19" s="546">
        <v>696</v>
      </c>
      <c r="D19" s="546">
        <v>2</v>
      </c>
      <c r="E19" s="546">
        <v>3</v>
      </c>
      <c r="F19" s="546">
        <v>0</v>
      </c>
      <c r="G19" s="206">
        <f t="shared" si="0"/>
        <v>701</v>
      </c>
      <c r="H19" s="8">
        <v>676</v>
      </c>
      <c r="I19" s="8">
        <v>2</v>
      </c>
      <c r="J19" s="8">
        <v>3</v>
      </c>
      <c r="K19" s="546">
        <v>0</v>
      </c>
      <c r="L19" s="546">
        <f t="shared" si="1"/>
        <v>681</v>
      </c>
      <c r="M19" s="390">
        <f t="shared" si="2"/>
        <v>20</v>
      </c>
      <c r="N19" s="546" t="s">
        <v>886</v>
      </c>
      <c r="P19" s="579"/>
      <c r="Q19" s="543"/>
    </row>
    <row r="20" spans="1:17">
      <c r="A20" s="204">
        <f t="shared" si="3"/>
        <v>9</v>
      </c>
      <c r="B20" s="204" t="s">
        <v>595</v>
      </c>
      <c r="C20" s="546">
        <v>425</v>
      </c>
      <c r="D20" s="546">
        <v>0</v>
      </c>
      <c r="E20" s="546">
        <v>0</v>
      </c>
      <c r="F20" s="546">
        <v>0</v>
      </c>
      <c r="G20" s="206">
        <f t="shared" si="0"/>
        <v>425</v>
      </c>
      <c r="H20" s="8">
        <v>398</v>
      </c>
      <c r="I20" s="546">
        <v>0</v>
      </c>
      <c r="J20" s="546">
        <v>0</v>
      </c>
      <c r="K20" s="546">
        <v>0</v>
      </c>
      <c r="L20" s="546">
        <f t="shared" si="1"/>
        <v>398</v>
      </c>
      <c r="M20" s="390">
        <f t="shared" si="2"/>
        <v>27</v>
      </c>
      <c r="N20" s="546" t="s">
        <v>886</v>
      </c>
      <c r="P20" s="579"/>
      <c r="Q20" s="543"/>
    </row>
    <row r="21" spans="1:17">
      <c r="A21" s="204">
        <f t="shared" si="3"/>
        <v>10</v>
      </c>
      <c r="B21" s="204" t="s">
        <v>596</v>
      </c>
      <c r="C21" s="546">
        <v>826</v>
      </c>
      <c r="D21" s="546">
        <v>11</v>
      </c>
      <c r="E21" s="546">
        <v>3</v>
      </c>
      <c r="F21" s="546">
        <v>1</v>
      </c>
      <c r="G21" s="206">
        <f t="shared" si="0"/>
        <v>841</v>
      </c>
      <c r="H21" s="8">
        <v>811</v>
      </c>
      <c r="I21" s="8">
        <v>11</v>
      </c>
      <c r="J21" s="8">
        <v>3</v>
      </c>
      <c r="K21" s="8">
        <v>1</v>
      </c>
      <c r="L21" s="546">
        <f t="shared" si="1"/>
        <v>826</v>
      </c>
      <c r="M21" s="390">
        <f t="shared" si="2"/>
        <v>15</v>
      </c>
      <c r="N21" s="546" t="s">
        <v>886</v>
      </c>
      <c r="P21" s="579"/>
      <c r="Q21" s="543"/>
    </row>
    <row r="22" spans="1:17">
      <c r="A22" s="204">
        <f t="shared" si="3"/>
        <v>11</v>
      </c>
      <c r="B22" s="204" t="s">
        <v>626</v>
      </c>
      <c r="C22" s="546">
        <v>852</v>
      </c>
      <c r="D22" s="546">
        <v>2</v>
      </c>
      <c r="E22" s="546">
        <v>0</v>
      </c>
      <c r="F22" s="546">
        <v>9</v>
      </c>
      <c r="G22" s="206">
        <f t="shared" si="0"/>
        <v>863</v>
      </c>
      <c r="H22" s="8">
        <v>829</v>
      </c>
      <c r="I22" s="8">
        <v>2</v>
      </c>
      <c r="J22" s="546">
        <v>0</v>
      </c>
      <c r="K22" s="8">
        <v>9</v>
      </c>
      <c r="L22" s="546">
        <f t="shared" si="1"/>
        <v>840</v>
      </c>
      <c r="M22" s="390">
        <f t="shared" si="2"/>
        <v>23</v>
      </c>
      <c r="N22" s="546" t="s">
        <v>886</v>
      </c>
      <c r="P22" s="579"/>
      <c r="Q22" s="543"/>
    </row>
    <row r="23" spans="1:17">
      <c r="A23" s="204">
        <f t="shared" si="3"/>
        <v>12</v>
      </c>
      <c r="B23" s="204" t="s">
        <v>597</v>
      </c>
      <c r="C23" s="546">
        <v>755</v>
      </c>
      <c r="D23" s="546">
        <v>3</v>
      </c>
      <c r="E23" s="546">
        <v>5</v>
      </c>
      <c r="F23" s="546">
        <v>2</v>
      </c>
      <c r="G23" s="206">
        <f t="shared" si="0"/>
        <v>765</v>
      </c>
      <c r="H23" s="8">
        <v>658</v>
      </c>
      <c r="I23" s="8">
        <v>3</v>
      </c>
      <c r="J23" s="8">
        <v>5</v>
      </c>
      <c r="K23" s="8">
        <v>2</v>
      </c>
      <c r="L23" s="546">
        <f t="shared" si="1"/>
        <v>668</v>
      </c>
      <c r="M23" s="390">
        <f t="shared" si="2"/>
        <v>97</v>
      </c>
      <c r="N23" s="546" t="s">
        <v>886</v>
      </c>
      <c r="P23" s="579"/>
      <c r="Q23" s="543"/>
    </row>
    <row r="24" spans="1:17">
      <c r="A24" s="204">
        <f t="shared" si="3"/>
        <v>13</v>
      </c>
      <c r="B24" s="204" t="s">
        <v>598</v>
      </c>
      <c r="C24" s="546">
        <v>634</v>
      </c>
      <c r="D24" s="546">
        <v>5</v>
      </c>
      <c r="E24" s="546">
        <v>0</v>
      </c>
      <c r="F24" s="546">
        <v>8</v>
      </c>
      <c r="G24" s="206">
        <f t="shared" si="0"/>
        <v>647</v>
      </c>
      <c r="H24" s="8">
        <v>600</v>
      </c>
      <c r="I24" s="8">
        <v>5</v>
      </c>
      <c r="J24" s="546">
        <v>0</v>
      </c>
      <c r="K24" s="8">
        <v>8</v>
      </c>
      <c r="L24" s="546">
        <f t="shared" si="1"/>
        <v>613</v>
      </c>
      <c r="M24" s="390">
        <f t="shared" si="2"/>
        <v>34</v>
      </c>
      <c r="N24" s="546" t="s">
        <v>886</v>
      </c>
      <c r="P24" s="579"/>
      <c r="Q24" s="543"/>
    </row>
    <row r="25" spans="1:17">
      <c r="A25" s="204">
        <f t="shared" si="3"/>
        <v>14</v>
      </c>
      <c r="B25" s="204" t="s">
        <v>627</v>
      </c>
      <c r="C25" s="546">
        <v>559</v>
      </c>
      <c r="D25" s="546">
        <v>4</v>
      </c>
      <c r="E25" s="546">
        <v>0</v>
      </c>
      <c r="F25" s="546">
        <v>3</v>
      </c>
      <c r="G25" s="206">
        <f t="shared" si="0"/>
        <v>566</v>
      </c>
      <c r="H25" s="8">
        <v>544</v>
      </c>
      <c r="I25" s="8">
        <v>4</v>
      </c>
      <c r="J25" s="546">
        <v>0</v>
      </c>
      <c r="K25" s="8">
        <v>3</v>
      </c>
      <c r="L25" s="546">
        <f t="shared" si="1"/>
        <v>551</v>
      </c>
      <c r="M25" s="390">
        <f t="shared" si="2"/>
        <v>15</v>
      </c>
      <c r="N25" s="546" t="s">
        <v>886</v>
      </c>
      <c r="P25" s="579"/>
      <c r="Q25" s="543"/>
    </row>
    <row r="26" spans="1:17">
      <c r="A26" s="204">
        <f t="shared" si="3"/>
        <v>15</v>
      </c>
      <c r="B26" s="204" t="s">
        <v>599</v>
      </c>
      <c r="C26" s="546">
        <v>624</v>
      </c>
      <c r="D26" s="546"/>
      <c r="E26" s="546">
        <v>0</v>
      </c>
      <c r="F26" s="546">
        <v>3</v>
      </c>
      <c r="G26" s="206">
        <f t="shared" si="0"/>
        <v>627</v>
      </c>
      <c r="H26" s="8">
        <v>606</v>
      </c>
      <c r="I26" s="546">
        <v>0</v>
      </c>
      <c r="J26" s="546">
        <v>0</v>
      </c>
      <c r="K26" s="8">
        <v>3</v>
      </c>
      <c r="L26" s="546">
        <f t="shared" si="1"/>
        <v>609</v>
      </c>
      <c r="M26" s="390">
        <f t="shared" si="2"/>
        <v>18</v>
      </c>
      <c r="N26" s="546" t="s">
        <v>886</v>
      </c>
      <c r="P26" s="579"/>
      <c r="Q26" s="543"/>
    </row>
    <row r="27" spans="1:17">
      <c r="A27" s="204">
        <f t="shared" si="3"/>
        <v>16</v>
      </c>
      <c r="B27" s="204" t="s">
        <v>600</v>
      </c>
      <c r="C27" s="546">
        <v>373</v>
      </c>
      <c r="D27" s="546">
        <v>1</v>
      </c>
      <c r="E27" s="546">
        <v>0</v>
      </c>
      <c r="F27" s="546">
        <v>1</v>
      </c>
      <c r="G27" s="206">
        <f t="shared" si="0"/>
        <v>375</v>
      </c>
      <c r="H27" s="8">
        <v>369</v>
      </c>
      <c r="I27" s="8">
        <v>1</v>
      </c>
      <c r="J27" s="546">
        <v>0</v>
      </c>
      <c r="K27" s="8">
        <v>1</v>
      </c>
      <c r="L27" s="546">
        <f t="shared" ref="L27:L44" si="4">SUM(H27:K27)</f>
        <v>371</v>
      </c>
      <c r="M27" s="390">
        <f t="shared" ref="M27:M44" si="5">G27-L27</f>
        <v>4</v>
      </c>
      <c r="N27" s="546" t="s">
        <v>886</v>
      </c>
      <c r="P27" s="579"/>
      <c r="Q27" s="543"/>
    </row>
    <row r="28" spans="1:17" s="527" customFormat="1">
      <c r="A28" s="204">
        <f t="shared" si="3"/>
        <v>17</v>
      </c>
      <c r="B28" s="529" t="s">
        <v>684</v>
      </c>
      <c r="C28" s="546">
        <v>344</v>
      </c>
      <c r="D28" s="546">
        <v>1</v>
      </c>
      <c r="E28" s="546">
        <v>1</v>
      </c>
      <c r="F28" s="546">
        <v>0</v>
      </c>
      <c r="G28" s="206">
        <f t="shared" si="0"/>
        <v>346</v>
      </c>
      <c r="H28" s="8">
        <v>320</v>
      </c>
      <c r="I28" s="8">
        <v>1</v>
      </c>
      <c r="J28" s="8">
        <v>1</v>
      </c>
      <c r="K28" s="546">
        <v>0</v>
      </c>
      <c r="L28" s="546">
        <f t="shared" si="4"/>
        <v>322</v>
      </c>
      <c r="M28" s="390">
        <f t="shared" si="5"/>
        <v>24</v>
      </c>
      <c r="N28" s="546" t="s">
        <v>886</v>
      </c>
      <c r="P28" s="579"/>
      <c r="Q28" s="543"/>
    </row>
    <row r="29" spans="1:17">
      <c r="A29" s="204">
        <f t="shared" si="3"/>
        <v>18</v>
      </c>
      <c r="B29" s="204" t="s">
        <v>601</v>
      </c>
      <c r="C29" s="546">
        <v>595</v>
      </c>
      <c r="D29" s="546">
        <v>7</v>
      </c>
      <c r="E29" s="546">
        <v>1</v>
      </c>
      <c r="F29" s="546">
        <v>1</v>
      </c>
      <c r="G29" s="206">
        <f t="shared" si="0"/>
        <v>604</v>
      </c>
      <c r="H29" s="8">
        <v>557</v>
      </c>
      <c r="I29" s="8">
        <v>7</v>
      </c>
      <c r="J29" s="8">
        <v>1</v>
      </c>
      <c r="K29" s="8">
        <v>1</v>
      </c>
      <c r="L29" s="546">
        <f t="shared" si="4"/>
        <v>566</v>
      </c>
      <c r="M29" s="390">
        <f t="shared" si="5"/>
        <v>38</v>
      </c>
      <c r="N29" s="546" t="s">
        <v>886</v>
      </c>
      <c r="P29" s="579"/>
      <c r="Q29" s="543"/>
    </row>
    <row r="30" spans="1:17">
      <c r="A30" s="204">
        <f t="shared" si="3"/>
        <v>19</v>
      </c>
      <c r="B30" s="204" t="s">
        <v>602</v>
      </c>
      <c r="C30" s="546">
        <v>1128</v>
      </c>
      <c r="D30" s="546">
        <v>26</v>
      </c>
      <c r="E30" s="546">
        <v>0</v>
      </c>
      <c r="F30" s="546">
        <v>8</v>
      </c>
      <c r="G30" s="206">
        <f t="shared" si="0"/>
        <v>1162</v>
      </c>
      <c r="H30" s="8">
        <v>1001</v>
      </c>
      <c r="I30" s="8">
        <v>26</v>
      </c>
      <c r="J30" s="546">
        <v>0</v>
      </c>
      <c r="K30" s="8">
        <v>8</v>
      </c>
      <c r="L30" s="546">
        <f t="shared" si="4"/>
        <v>1035</v>
      </c>
      <c r="M30" s="390">
        <f t="shared" si="5"/>
        <v>127</v>
      </c>
      <c r="N30" s="546" t="s">
        <v>886</v>
      </c>
      <c r="P30" s="579"/>
      <c r="Q30" s="543"/>
    </row>
    <row r="31" spans="1:17" s="527" customFormat="1">
      <c r="A31" s="204">
        <f t="shared" si="3"/>
        <v>20</v>
      </c>
      <c r="B31" s="529" t="s">
        <v>683</v>
      </c>
      <c r="C31" s="546">
        <v>337</v>
      </c>
      <c r="D31" s="546">
        <v>1</v>
      </c>
      <c r="E31" s="546">
        <v>0</v>
      </c>
      <c r="F31" s="546">
        <v>7</v>
      </c>
      <c r="G31" s="206">
        <f t="shared" si="0"/>
        <v>345</v>
      </c>
      <c r="H31" s="8">
        <v>316</v>
      </c>
      <c r="I31" s="8">
        <v>1</v>
      </c>
      <c r="J31" s="546">
        <v>0</v>
      </c>
      <c r="K31" s="8">
        <v>7</v>
      </c>
      <c r="L31" s="546">
        <f t="shared" si="4"/>
        <v>324</v>
      </c>
      <c r="M31" s="390">
        <f t="shared" si="5"/>
        <v>21</v>
      </c>
      <c r="N31" s="546" t="s">
        <v>886</v>
      </c>
      <c r="P31" s="579"/>
      <c r="Q31" s="543"/>
    </row>
    <row r="32" spans="1:17">
      <c r="A32" s="204">
        <f t="shared" si="3"/>
        <v>21</v>
      </c>
      <c r="B32" s="529" t="s">
        <v>628</v>
      </c>
      <c r="C32" s="546">
        <v>570</v>
      </c>
      <c r="D32" s="546">
        <v>0</v>
      </c>
      <c r="E32" s="546">
        <v>0</v>
      </c>
      <c r="F32" s="546">
        <v>0</v>
      </c>
      <c r="G32" s="206">
        <f t="shared" si="0"/>
        <v>570</v>
      </c>
      <c r="H32" s="8">
        <v>555</v>
      </c>
      <c r="I32" s="546">
        <v>0</v>
      </c>
      <c r="J32" s="546">
        <v>0</v>
      </c>
      <c r="K32" s="546">
        <v>0</v>
      </c>
      <c r="L32" s="546">
        <f t="shared" si="4"/>
        <v>555</v>
      </c>
      <c r="M32" s="390">
        <f t="shared" si="5"/>
        <v>15</v>
      </c>
      <c r="N32" s="546" t="s">
        <v>886</v>
      </c>
      <c r="P32" s="579"/>
      <c r="Q32" s="543"/>
    </row>
    <row r="33" spans="1:17">
      <c r="A33" s="204">
        <f t="shared" si="3"/>
        <v>22</v>
      </c>
      <c r="B33" s="204" t="s">
        <v>603</v>
      </c>
      <c r="C33" s="546">
        <v>768</v>
      </c>
      <c r="D33" s="546">
        <v>18</v>
      </c>
      <c r="E33" s="546">
        <v>10</v>
      </c>
      <c r="F33" s="546">
        <v>1</v>
      </c>
      <c r="G33" s="206">
        <f t="shared" si="0"/>
        <v>797</v>
      </c>
      <c r="H33" s="8">
        <v>762</v>
      </c>
      <c r="I33" s="8">
        <v>18</v>
      </c>
      <c r="J33" s="8">
        <v>10</v>
      </c>
      <c r="K33" s="8">
        <v>1</v>
      </c>
      <c r="L33" s="546">
        <f t="shared" si="4"/>
        <v>791</v>
      </c>
      <c r="M33" s="390">
        <f t="shared" si="5"/>
        <v>6</v>
      </c>
      <c r="N33" s="546" t="s">
        <v>886</v>
      </c>
      <c r="P33" s="579"/>
      <c r="Q33" s="543"/>
    </row>
    <row r="34" spans="1:17">
      <c r="A34" s="204">
        <f t="shared" si="3"/>
        <v>23</v>
      </c>
      <c r="B34" s="204" t="s">
        <v>604</v>
      </c>
      <c r="C34" s="546">
        <v>360</v>
      </c>
      <c r="D34" s="546">
        <v>0</v>
      </c>
      <c r="E34" s="546">
        <v>0</v>
      </c>
      <c r="F34" s="546">
        <v>0</v>
      </c>
      <c r="G34" s="206">
        <f t="shared" si="0"/>
        <v>360</v>
      </c>
      <c r="H34" s="8">
        <v>330</v>
      </c>
      <c r="I34" s="546">
        <v>0</v>
      </c>
      <c r="J34" s="546">
        <v>0</v>
      </c>
      <c r="K34" s="546">
        <v>0</v>
      </c>
      <c r="L34" s="546">
        <f t="shared" si="4"/>
        <v>330</v>
      </c>
      <c r="M34" s="390">
        <f t="shared" si="5"/>
        <v>30</v>
      </c>
      <c r="N34" s="546" t="s">
        <v>886</v>
      </c>
      <c r="P34" s="579"/>
      <c r="Q34" s="543"/>
    </row>
    <row r="35" spans="1:17">
      <c r="A35" s="204">
        <f t="shared" si="3"/>
        <v>24</v>
      </c>
      <c r="B35" s="204" t="s">
        <v>605</v>
      </c>
      <c r="C35" s="546">
        <v>339</v>
      </c>
      <c r="D35" s="546">
        <v>1</v>
      </c>
      <c r="E35" s="546">
        <v>0</v>
      </c>
      <c r="F35" s="546">
        <v>1</v>
      </c>
      <c r="G35" s="206">
        <f t="shared" si="0"/>
        <v>341</v>
      </c>
      <c r="H35" s="8">
        <v>319</v>
      </c>
      <c r="I35" s="8">
        <v>1</v>
      </c>
      <c r="J35" s="546">
        <v>0</v>
      </c>
      <c r="K35" s="8">
        <v>1</v>
      </c>
      <c r="L35" s="546">
        <f t="shared" si="4"/>
        <v>321</v>
      </c>
      <c r="M35" s="390">
        <f t="shared" si="5"/>
        <v>20</v>
      </c>
      <c r="N35" s="546" t="s">
        <v>886</v>
      </c>
      <c r="P35" s="579"/>
      <c r="Q35" s="543"/>
    </row>
    <row r="36" spans="1:17">
      <c r="A36" s="204">
        <f t="shared" si="3"/>
        <v>25</v>
      </c>
      <c r="B36" s="204" t="s">
        <v>606</v>
      </c>
      <c r="C36" s="546">
        <v>886</v>
      </c>
      <c r="D36" s="546">
        <v>2</v>
      </c>
      <c r="E36" s="546">
        <v>0</v>
      </c>
      <c r="F36" s="546">
        <v>14</v>
      </c>
      <c r="G36" s="206">
        <f t="shared" si="0"/>
        <v>902</v>
      </c>
      <c r="H36" s="8">
        <v>852</v>
      </c>
      <c r="I36" s="8">
        <v>2</v>
      </c>
      <c r="J36" s="546">
        <v>0</v>
      </c>
      <c r="K36" s="8">
        <v>14</v>
      </c>
      <c r="L36" s="546">
        <f t="shared" si="4"/>
        <v>868</v>
      </c>
      <c r="M36" s="390">
        <f t="shared" si="5"/>
        <v>34</v>
      </c>
      <c r="N36" s="546" t="s">
        <v>886</v>
      </c>
      <c r="P36" s="579"/>
      <c r="Q36" s="543"/>
    </row>
    <row r="37" spans="1:17">
      <c r="A37" s="204">
        <f t="shared" si="3"/>
        <v>26</v>
      </c>
      <c r="B37" s="204" t="s">
        <v>607</v>
      </c>
      <c r="C37" s="546">
        <v>859</v>
      </c>
      <c r="D37" s="546">
        <v>2</v>
      </c>
      <c r="E37" s="546">
        <v>0</v>
      </c>
      <c r="F37" s="546">
        <v>11</v>
      </c>
      <c r="G37" s="206">
        <f t="shared" si="0"/>
        <v>872</v>
      </c>
      <c r="H37" s="8">
        <v>845</v>
      </c>
      <c r="I37" s="8">
        <v>2</v>
      </c>
      <c r="J37" s="546">
        <v>0</v>
      </c>
      <c r="K37" s="8">
        <v>11</v>
      </c>
      <c r="L37" s="546">
        <f t="shared" si="4"/>
        <v>858</v>
      </c>
      <c r="M37" s="390">
        <f t="shared" si="5"/>
        <v>14</v>
      </c>
      <c r="N37" s="546" t="s">
        <v>886</v>
      </c>
      <c r="P37" s="579"/>
      <c r="Q37" s="543"/>
    </row>
    <row r="38" spans="1:17">
      <c r="A38" s="204">
        <f t="shared" si="3"/>
        <v>27</v>
      </c>
      <c r="B38" s="204" t="s">
        <v>608</v>
      </c>
      <c r="C38" s="546">
        <v>635</v>
      </c>
      <c r="D38" s="546">
        <v>1</v>
      </c>
      <c r="E38" s="546">
        <v>0</v>
      </c>
      <c r="F38" s="546">
        <v>2</v>
      </c>
      <c r="G38" s="206">
        <f t="shared" si="0"/>
        <v>638</v>
      </c>
      <c r="H38" s="8">
        <v>604</v>
      </c>
      <c r="I38" s="8">
        <v>1</v>
      </c>
      <c r="J38" s="546">
        <v>0</v>
      </c>
      <c r="K38" s="8">
        <v>2</v>
      </c>
      <c r="L38" s="546">
        <f t="shared" si="4"/>
        <v>607</v>
      </c>
      <c r="M38" s="390">
        <f t="shared" si="5"/>
        <v>31</v>
      </c>
      <c r="N38" s="546" t="s">
        <v>886</v>
      </c>
      <c r="P38" s="579"/>
      <c r="Q38" s="543"/>
    </row>
    <row r="39" spans="1:17">
      <c r="A39" s="204">
        <f t="shared" si="3"/>
        <v>28</v>
      </c>
      <c r="B39" s="204" t="s">
        <v>609</v>
      </c>
      <c r="C39" s="546">
        <v>690</v>
      </c>
      <c r="D39" s="546">
        <v>8</v>
      </c>
      <c r="E39" s="546">
        <v>0</v>
      </c>
      <c r="F39" s="546">
        <v>3</v>
      </c>
      <c r="G39" s="206">
        <f t="shared" si="0"/>
        <v>701</v>
      </c>
      <c r="H39" s="8">
        <v>661</v>
      </c>
      <c r="I39" s="8">
        <v>8</v>
      </c>
      <c r="J39" s="546">
        <v>0</v>
      </c>
      <c r="K39" s="8">
        <v>3</v>
      </c>
      <c r="L39" s="546">
        <f t="shared" si="4"/>
        <v>672</v>
      </c>
      <c r="M39" s="390">
        <f t="shared" si="5"/>
        <v>29</v>
      </c>
      <c r="N39" s="546" t="s">
        <v>886</v>
      </c>
      <c r="P39" s="579"/>
      <c r="Q39" s="543"/>
    </row>
    <row r="40" spans="1:17">
      <c r="A40" s="204">
        <f t="shared" si="3"/>
        <v>29</v>
      </c>
      <c r="B40" s="204" t="s">
        <v>610</v>
      </c>
      <c r="C40" s="546">
        <v>754</v>
      </c>
      <c r="D40" s="546">
        <v>2</v>
      </c>
      <c r="E40" s="546">
        <v>0</v>
      </c>
      <c r="F40" s="546">
        <v>0</v>
      </c>
      <c r="G40" s="206">
        <f t="shared" si="0"/>
        <v>756</v>
      </c>
      <c r="H40" s="8">
        <v>730</v>
      </c>
      <c r="I40" s="8">
        <v>2</v>
      </c>
      <c r="J40" s="546">
        <v>0</v>
      </c>
      <c r="K40" s="546">
        <v>0</v>
      </c>
      <c r="L40" s="546">
        <f t="shared" si="4"/>
        <v>732</v>
      </c>
      <c r="M40" s="390">
        <f t="shared" si="5"/>
        <v>24</v>
      </c>
      <c r="N40" s="546" t="s">
        <v>886</v>
      </c>
      <c r="P40" s="579"/>
      <c r="Q40" s="543"/>
    </row>
    <row r="41" spans="1:17">
      <c r="A41" s="204">
        <f t="shared" si="3"/>
        <v>30</v>
      </c>
      <c r="B41" s="502" t="s">
        <v>611</v>
      </c>
      <c r="C41" s="546">
        <v>359</v>
      </c>
      <c r="D41" s="546">
        <v>2</v>
      </c>
      <c r="E41" s="546">
        <v>0</v>
      </c>
      <c r="F41" s="546">
        <v>0</v>
      </c>
      <c r="G41" s="206">
        <f t="shared" si="0"/>
        <v>361</v>
      </c>
      <c r="H41" s="8">
        <v>344</v>
      </c>
      <c r="I41" s="8">
        <v>2</v>
      </c>
      <c r="J41" s="546">
        <v>0</v>
      </c>
      <c r="K41" s="546">
        <v>0</v>
      </c>
      <c r="L41" s="546">
        <f t="shared" si="4"/>
        <v>346</v>
      </c>
      <c r="M41" s="390">
        <f t="shared" si="5"/>
        <v>15</v>
      </c>
      <c r="N41" s="546" t="s">
        <v>886</v>
      </c>
      <c r="P41" s="579"/>
      <c r="Q41" s="543"/>
    </row>
    <row r="42" spans="1:17">
      <c r="A42" s="204">
        <f t="shared" si="3"/>
        <v>31</v>
      </c>
      <c r="B42" s="502" t="s">
        <v>612</v>
      </c>
      <c r="C42" s="546">
        <v>457</v>
      </c>
      <c r="D42" s="546">
        <v>1</v>
      </c>
      <c r="E42" s="546">
        <v>0</v>
      </c>
      <c r="F42" s="546">
        <v>1</v>
      </c>
      <c r="G42" s="206">
        <f t="shared" si="0"/>
        <v>459</v>
      </c>
      <c r="H42" s="8">
        <v>384</v>
      </c>
      <c r="I42" s="8">
        <v>1</v>
      </c>
      <c r="J42" s="546">
        <v>0</v>
      </c>
      <c r="K42" s="8">
        <v>1</v>
      </c>
      <c r="L42" s="546">
        <f t="shared" si="4"/>
        <v>386</v>
      </c>
      <c r="M42" s="390">
        <f t="shared" si="5"/>
        <v>73</v>
      </c>
      <c r="N42" s="546" t="s">
        <v>886</v>
      </c>
      <c r="P42" s="579"/>
      <c r="Q42" s="543"/>
    </row>
    <row r="43" spans="1:17">
      <c r="A43" s="204">
        <f t="shared" si="3"/>
        <v>32</v>
      </c>
      <c r="B43" s="502" t="s">
        <v>613</v>
      </c>
      <c r="C43" s="546">
        <v>306</v>
      </c>
      <c r="D43" s="546">
        <v>20</v>
      </c>
      <c r="E43" s="546">
        <v>0</v>
      </c>
      <c r="F43" s="546">
        <v>17</v>
      </c>
      <c r="G43" s="206">
        <f t="shared" si="0"/>
        <v>343</v>
      </c>
      <c r="H43" s="8">
        <v>287</v>
      </c>
      <c r="I43" s="8">
        <v>20</v>
      </c>
      <c r="J43" s="546">
        <v>0</v>
      </c>
      <c r="K43" s="8">
        <v>17</v>
      </c>
      <c r="L43" s="546">
        <f t="shared" si="4"/>
        <v>324</v>
      </c>
      <c r="M43" s="390">
        <f t="shared" si="5"/>
        <v>19</v>
      </c>
      <c r="N43" s="546" t="s">
        <v>886</v>
      </c>
      <c r="P43" s="579"/>
      <c r="Q43" s="543"/>
    </row>
    <row r="44" spans="1:17">
      <c r="A44" s="204">
        <f t="shared" si="3"/>
        <v>33</v>
      </c>
      <c r="B44" s="502" t="s">
        <v>614</v>
      </c>
      <c r="C44" s="546">
        <v>471</v>
      </c>
      <c r="D44" s="546">
        <v>5</v>
      </c>
      <c r="E44" s="546">
        <v>0</v>
      </c>
      <c r="F44" s="546">
        <v>0</v>
      </c>
      <c r="G44" s="206">
        <f t="shared" si="0"/>
        <v>476</v>
      </c>
      <c r="H44" s="8">
        <v>443</v>
      </c>
      <c r="I44" s="8">
        <v>5</v>
      </c>
      <c r="J44" s="546">
        <v>0</v>
      </c>
      <c r="K44" s="8"/>
      <c r="L44" s="546">
        <f t="shared" si="4"/>
        <v>448</v>
      </c>
      <c r="M44" s="390">
        <f t="shared" si="5"/>
        <v>28</v>
      </c>
      <c r="N44" s="546" t="s">
        <v>886</v>
      </c>
      <c r="P44" s="579"/>
      <c r="Q44" s="543"/>
    </row>
    <row r="45" spans="1:17" s="5" customFormat="1">
      <c r="A45" s="274"/>
      <c r="B45" s="274" t="s">
        <v>615</v>
      </c>
      <c r="C45" s="553">
        <f>SUM(C12:C44)</f>
        <v>19508</v>
      </c>
      <c r="D45" s="553">
        <f t="shared" ref="D45:N45" si="6">SUM(D12:D44)</f>
        <v>262</v>
      </c>
      <c r="E45" s="553">
        <f t="shared" si="6"/>
        <v>37</v>
      </c>
      <c r="F45" s="553">
        <f t="shared" si="6"/>
        <v>106</v>
      </c>
      <c r="G45" s="553">
        <f t="shared" si="6"/>
        <v>19913</v>
      </c>
      <c r="H45" s="17">
        <f t="shared" si="6"/>
        <v>18594</v>
      </c>
      <c r="I45" s="17">
        <f t="shared" si="6"/>
        <v>231</v>
      </c>
      <c r="J45" s="17">
        <f t="shared" si="6"/>
        <v>37</v>
      </c>
      <c r="K45" s="17">
        <f t="shared" si="6"/>
        <v>104</v>
      </c>
      <c r="L45" s="548">
        <f t="shared" si="6"/>
        <v>18966</v>
      </c>
      <c r="M45" s="17">
        <f t="shared" si="6"/>
        <v>947</v>
      </c>
      <c r="N45" s="17">
        <f t="shared" si="6"/>
        <v>0</v>
      </c>
    </row>
    <row r="46" spans="1:17">
      <c r="A46" s="9" t="s">
        <v>8</v>
      </c>
      <c r="C46" s="367"/>
      <c r="D46" s="367"/>
      <c r="E46" s="367"/>
      <c r="F46" s="367"/>
      <c r="G46" s="367"/>
    </row>
    <row r="47" spans="1:17">
      <c r="A47" s="173" t="s">
        <v>9</v>
      </c>
    </row>
    <row r="48" spans="1:17">
      <c r="A48" s="173" t="s">
        <v>10</v>
      </c>
      <c r="J48" s="3" t="s">
        <v>11</v>
      </c>
      <c r="K48" s="3"/>
      <c r="L48" s="3" t="s">
        <v>11</v>
      </c>
    </row>
    <row r="49" spans="1:14">
      <c r="A49" s="173" t="s">
        <v>419</v>
      </c>
      <c r="J49" s="3"/>
      <c r="K49" s="3"/>
      <c r="L49" s="3"/>
    </row>
    <row r="50" spans="1:14">
      <c r="C50" s="173" t="s">
        <v>420</v>
      </c>
      <c r="E50" s="10"/>
      <c r="F50" s="10"/>
      <c r="G50" s="10"/>
      <c r="H50" s="10"/>
      <c r="I50" s="10"/>
      <c r="J50" s="10"/>
      <c r="K50" s="10"/>
      <c r="L50" s="10"/>
      <c r="M50" s="10"/>
    </row>
    <row r="51" spans="1:14">
      <c r="E51" s="10"/>
      <c r="F51" s="10"/>
      <c r="G51" s="10"/>
      <c r="H51" s="10"/>
      <c r="I51" s="10"/>
      <c r="J51" s="10"/>
      <c r="K51" s="10"/>
      <c r="L51" s="10"/>
      <c r="M51" s="10"/>
    </row>
    <row r="52" spans="1:14">
      <c r="A52" s="797"/>
      <c r="B52" s="797"/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</row>
    <row r="53" spans="1:14" ht="15.75">
      <c r="J53" s="761" t="s">
        <v>908</v>
      </c>
      <c r="K53" s="761"/>
      <c r="L53" s="761"/>
      <c r="M53" s="761"/>
      <c r="N53" s="761"/>
    </row>
    <row r="54" spans="1:14" ht="15.75">
      <c r="J54" s="761" t="s">
        <v>646</v>
      </c>
      <c r="K54" s="761"/>
      <c r="L54" s="761"/>
      <c r="M54" s="761"/>
      <c r="N54" s="761"/>
    </row>
  </sheetData>
  <mergeCells count="14">
    <mergeCell ref="J53:N53"/>
    <mergeCell ref="J54:N54"/>
    <mergeCell ref="A2:N2"/>
    <mergeCell ref="A3:N3"/>
    <mergeCell ref="A5:N5"/>
    <mergeCell ref="M9:M10"/>
    <mergeCell ref="N9:N10"/>
    <mergeCell ref="D1:I1"/>
    <mergeCell ref="L1:M1"/>
    <mergeCell ref="B9:B10"/>
    <mergeCell ref="A9:A10"/>
    <mergeCell ref="A52:M52"/>
    <mergeCell ref="H9:L9"/>
    <mergeCell ref="C9:G9"/>
  </mergeCells>
  <phoneticPr fontId="0" type="noConversion"/>
  <printOptions horizontalCentered="1"/>
  <pageMargins left="0.38" right="0.45" top="0.35" bottom="0" header="0.31496062992125984" footer="0.27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topLeftCell="A35" zoomScale="90" zoomScaleNormal="70" zoomScaleSheetLayoutView="90" workbookViewId="0">
      <selection activeCell="H45" sqref="H45"/>
    </sheetView>
  </sheetViews>
  <sheetFormatPr defaultRowHeight="12.75"/>
  <cols>
    <col min="1" max="1" width="7.5703125" style="173" customWidth="1"/>
    <col min="2" max="2" width="18.5703125" style="173" customWidth="1"/>
    <col min="3" max="3" width="9.7109375" style="173" customWidth="1"/>
    <col min="4" max="4" width="9.140625" style="173"/>
    <col min="5" max="5" width="9.5703125" style="173" customWidth="1"/>
    <col min="6" max="6" width="7.5703125" style="173" customWidth="1"/>
    <col min="7" max="7" width="8.42578125" style="173" customWidth="1"/>
    <col min="8" max="8" width="10.5703125" style="173" customWidth="1"/>
    <col min="9" max="9" width="9.85546875" style="173" customWidth="1"/>
    <col min="10" max="11" width="9.140625" style="173"/>
    <col min="12" max="12" width="7.5703125" style="173" customWidth="1"/>
    <col min="13" max="13" width="12.28515625" style="173" customWidth="1"/>
    <col min="14" max="14" width="15.85546875" style="173" customWidth="1"/>
    <col min="15" max="16384" width="9.140625" style="173"/>
  </cols>
  <sheetData>
    <row r="1" spans="1:19" ht="12.75" customHeight="1">
      <c r="D1" s="700"/>
      <c r="E1" s="700"/>
      <c r="F1" s="700"/>
      <c r="G1" s="700"/>
      <c r="H1" s="700"/>
      <c r="I1" s="700"/>
      <c r="J1" s="700"/>
      <c r="K1" s="159"/>
      <c r="M1" s="169" t="s">
        <v>84</v>
      </c>
    </row>
    <row r="2" spans="1:19" ht="15.75">
      <c r="A2" s="702" t="s">
        <v>0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</row>
    <row r="3" spans="1:19" ht="20.25">
      <c r="A3" s="703" t="s">
        <v>737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19" ht="11.25" customHeight="1"/>
    <row r="5" spans="1:19" ht="15.75">
      <c r="A5" s="704" t="s">
        <v>764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</row>
    <row r="7" spans="1:19" s="5" customFormat="1">
      <c r="A7" s="21" t="s">
        <v>658</v>
      </c>
      <c r="B7" s="21"/>
      <c r="L7" s="799" t="s">
        <v>774</v>
      </c>
      <c r="M7" s="799"/>
      <c r="N7" s="799"/>
    </row>
    <row r="8" spans="1:19" ht="15.75" customHeight="1">
      <c r="A8" s="795" t="s">
        <v>2</v>
      </c>
      <c r="B8" s="795" t="s">
        <v>3</v>
      </c>
      <c r="C8" s="695" t="s">
        <v>4</v>
      </c>
      <c r="D8" s="695"/>
      <c r="E8" s="695"/>
      <c r="F8" s="695"/>
      <c r="G8" s="695"/>
      <c r="H8" s="695" t="s">
        <v>97</v>
      </c>
      <c r="I8" s="695"/>
      <c r="J8" s="695"/>
      <c r="K8" s="695"/>
      <c r="L8" s="695"/>
      <c r="M8" s="795" t="s">
        <v>130</v>
      </c>
      <c r="N8" s="668" t="s">
        <v>131</v>
      </c>
    </row>
    <row r="9" spans="1:19" ht="51">
      <c r="A9" s="796"/>
      <c r="B9" s="796"/>
      <c r="C9" s="150" t="s">
        <v>5</v>
      </c>
      <c r="D9" s="150" t="s">
        <v>6</v>
      </c>
      <c r="E9" s="150" t="s">
        <v>347</v>
      </c>
      <c r="F9" s="150" t="s">
        <v>95</v>
      </c>
      <c r="G9" s="150" t="s">
        <v>203</v>
      </c>
      <c r="H9" s="150" t="s">
        <v>5</v>
      </c>
      <c r="I9" s="150" t="s">
        <v>6</v>
      </c>
      <c r="J9" s="150" t="s">
        <v>347</v>
      </c>
      <c r="K9" s="150" t="s">
        <v>95</v>
      </c>
      <c r="L9" s="150" t="s">
        <v>202</v>
      </c>
      <c r="M9" s="796"/>
      <c r="N9" s="668"/>
      <c r="R9" s="8"/>
      <c r="S9" s="10"/>
    </row>
    <row r="10" spans="1:19" s="5" customFormat="1">
      <c r="A10" s="150">
        <v>1</v>
      </c>
      <c r="B10" s="150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  <c r="I10" s="150">
        <v>9</v>
      </c>
      <c r="J10" s="150">
        <v>10</v>
      </c>
      <c r="K10" s="150">
        <v>11</v>
      </c>
      <c r="L10" s="150">
        <v>12</v>
      </c>
      <c r="M10" s="150">
        <v>13</v>
      </c>
      <c r="N10" s="150">
        <v>14</v>
      </c>
    </row>
    <row r="11" spans="1:19">
      <c r="A11" s="204">
        <v>1</v>
      </c>
      <c r="B11" s="204" t="s">
        <v>624</v>
      </c>
      <c r="C11" s="546">
        <v>110</v>
      </c>
      <c r="D11" s="546">
        <v>0</v>
      </c>
      <c r="E11" s="546">
        <v>0</v>
      </c>
      <c r="F11" s="546">
        <v>6</v>
      </c>
      <c r="G11" s="546">
        <f>SUM(C11:F11)</f>
        <v>116</v>
      </c>
      <c r="H11" s="8">
        <v>110</v>
      </c>
      <c r="I11" s="8">
        <v>0</v>
      </c>
      <c r="J11" s="546">
        <v>0</v>
      </c>
      <c r="K11" s="8">
        <v>6</v>
      </c>
      <c r="L11" s="8">
        <f>SUM(H11:K11)</f>
        <v>116</v>
      </c>
      <c r="M11" s="8">
        <f>G11-L11</f>
        <v>0</v>
      </c>
      <c r="N11" s="8"/>
    </row>
    <row r="12" spans="1:19">
      <c r="A12" s="204">
        <f>A11+1</f>
        <v>2</v>
      </c>
      <c r="B12" s="204" t="s">
        <v>589</v>
      </c>
      <c r="C12" s="546">
        <v>166</v>
      </c>
      <c r="D12" s="546">
        <v>2</v>
      </c>
      <c r="E12" s="546">
        <v>0</v>
      </c>
      <c r="F12" s="546">
        <v>0</v>
      </c>
      <c r="G12" s="546">
        <f t="shared" ref="G12:G43" si="0">SUM(C12:F12)</f>
        <v>168</v>
      </c>
      <c r="H12" s="8">
        <v>166</v>
      </c>
      <c r="I12" s="8">
        <v>2</v>
      </c>
      <c r="J12" s="546">
        <v>0</v>
      </c>
      <c r="K12" s="546">
        <v>0</v>
      </c>
      <c r="L12" s="546">
        <f t="shared" ref="L12:L33" si="1">SUM(H12:K12)</f>
        <v>168</v>
      </c>
      <c r="M12" s="546">
        <f t="shared" ref="M12:M33" si="2">G12-L12</f>
        <v>0</v>
      </c>
      <c r="N12" s="8"/>
    </row>
    <row r="13" spans="1:19" s="394" customFormat="1">
      <c r="A13" s="204">
        <f t="shared" ref="A13:A43" si="3">A12+1</f>
        <v>3</v>
      </c>
      <c r="B13" s="204" t="s">
        <v>625</v>
      </c>
      <c r="C13" s="390">
        <v>9</v>
      </c>
      <c r="D13" s="390">
        <v>35</v>
      </c>
      <c r="E13" s="390">
        <v>0</v>
      </c>
      <c r="F13" s="390">
        <v>7</v>
      </c>
      <c r="G13" s="546">
        <f t="shared" si="0"/>
        <v>51</v>
      </c>
      <c r="H13" s="390">
        <v>8</v>
      </c>
      <c r="I13" s="390">
        <v>26</v>
      </c>
      <c r="J13" s="390">
        <v>0</v>
      </c>
      <c r="K13" s="390">
        <v>0</v>
      </c>
      <c r="L13" s="546">
        <v>34</v>
      </c>
      <c r="M13" s="546">
        <f t="shared" si="2"/>
        <v>17</v>
      </c>
      <c r="N13" s="395"/>
    </row>
    <row r="14" spans="1:19">
      <c r="A14" s="204">
        <f t="shared" si="3"/>
        <v>4</v>
      </c>
      <c r="B14" s="204" t="s">
        <v>590</v>
      </c>
      <c r="C14" s="546">
        <v>84</v>
      </c>
      <c r="D14" s="546">
        <v>1</v>
      </c>
      <c r="E14" s="546">
        <v>0</v>
      </c>
      <c r="F14" s="546">
        <v>0</v>
      </c>
      <c r="G14" s="546">
        <f t="shared" si="0"/>
        <v>85</v>
      </c>
      <c r="H14" s="8">
        <v>84</v>
      </c>
      <c r="I14" s="8">
        <v>1</v>
      </c>
      <c r="J14" s="546">
        <v>0</v>
      </c>
      <c r="K14" s="546">
        <v>0</v>
      </c>
      <c r="L14" s="546">
        <f t="shared" si="1"/>
        <v>85</v>
      </c>
      <c r="M14" s="546">
        <f t="shared" si="2"/>
        <v>0</v>
      </c>
      <c r="N14" s="8"/>
    </row>
    <row r="15" spans="1:19">
      <c r="A15" s="204">
        <f t="shared" si="3"/>
        <v>5</v>
      </c>
      <c r="B15" s="204" t="s">
        <v>591</v>
      </c>
      <c r="C15" s="546">
        <v>69</v>
      </c>
      <c r="D15" s="546">
        <v>1</v>
      </c>
      <c r="E15" s="546">
        <v>0</v>
      </c>
      <c r="F15" s="546">
        <v>0</v>
      </c>
      <c r="G15" s="546">
        <f t="shared" si="0"/>
        <v>70</v>
      </c>
      <c r="H15" s="8">
        <v>69</v>
      </c>
      <c r="I15" s="8">
        <v>1</v>
      </c>
      <c r="J15" s="546">
        <v>0</v>
      </c>
      <c r="K15" s="546">
        <v>0</v>
      </c>
      <c r="L15" s="546">
        <f t="shared" si="1"/>
        <v>70</v>
      </c>
      <c r="M15" s="546">
        <f t="shared" si="2"/>
        <v>0</v>
      </c>
      <c r="N15" s="8"/>
    </row>
    <row r="16" spans="1:19">
      <c r="A16" s="204">
        <f t="shared" si="3"/>
        <v>6</v>
      </c>
      <c r="B16" s="204" t="s">
        <v>592</v>
      </c>
      <c r="C16" s="546">
        <v>44</v>
      </c>
      <c r="D16" s="546">
        <v>0</v>
      </c>
      <c r="E16" s="546">
        <v>0</v>
      </c>
      <c r="F16" s="546">
        <v>0</v>
      </c>
      <c r="G16" s="546">
        <f t="shared" si="0"/>
        <v>44</v>
      </c>
      <c r="H16" s="8">
        <v>44</v>
      </c>
      <c r="I16" s="546">
        <v>0</v>
      </c>
      <c r="J16" s="546">
        <v>0</v>
      </c>
      <c r="K16" s="546">
        <v>0</v>
      </c>
      <c r="L16" s="546">
        <f t="shared" si="1"/>
        <v>44</v>
      </c>
      <c r="M16" s="546">
        <f t="shared" si="2"/>
        <v>0</v>
      </c>
      <c r="N16" s="8"/>
    </row>
    <row r="17" spans="1:14">
      <c r="A17" s="204">
        <f t="shared" si="3"/>
        <v>7</v>
      </c>
      <c r="B17" s="204" t="s">
        <v>593</v>
      </c>
      <c r="C17" s="546">
        <v>87</v>
      </c>
      <c r="D17" s="546">
        <v>0</v>
      </c>
      <c r="E17" s="546">
        <v>0</v>
      </c>
      <c r="F17" s="546">
        <v>1</v>
      </c>
      <c r="G17" s="546">
        <f t="shared" si="0"/>
        <v>88</v>
      </c>
      <c r="H17" s="8">
        <v>87</v>
      </c>
      <c r="I17" s="546">
        <v>0</v>
      </c>
      <c r="J17" s="546">
        <v>0</v>
      </c>
      <c r="K17" s="8">
        <v>1</v>
      </c>
      <c r="L17" s="546">
        <f t="shared" si="1"/>
        <v>88</v>
      </c>
      <c r="M17" s="546">
        <f t="shared" si="2"/>
        <v>0</v>
      </c>
      <c r="N17" s="8"/>
    </row>
    <row r="18" spans="1:14">
      <c r="A18" s="204">
        <f t="shared" si="3"/>
        <v>8</v>
      </c>
      <c r="B18" s="204" t="s">
        <v>594</v>
      </c>
      <c r="C18" s="546">
        <v>130</v>
      </c>
      <c r="D18" s="546">
        <v>1</v>
      </c>
      <c r="E18" s="546">
        <v>4</v>
      </c>
      <c r="F18" s="546">
        <v>0</v>
      </c>
      <c r="G18" s="546">
        <f t="shared" si="0"/>
        <v>135</v>
      </c>
      <c r="H18" s="8">
        <v>130</v>
      </c>
      <c r="I18" s="8">
        <v>1</v>
      </c>
      <c r="J18" s="8">
        <v>4</v>
      </c>
      <c r="K18" s="546">
        <v>0</v>
      </c>
      <c r="L18" s="546">
        <f t="shared" si="1"/>
        <v>135</v>
      </c>
      <c r="M18" s="546">
        <f t="shared" si="2"/>
        <v>0</v>
      </c>
      <c r="N18" s="8"/>
    </row>
    <row r="19" spans="1:14">
      <c r="A19" s="204">
        <f t="shared" si="3"/>
        <v>9</v>
      </c>
      <c r="B19" s="204" t="s">
        <v>595</v>
      </c>
      <c r="C19" s="546">
        <v>75</v>
      </c>
      <c r="D19" s="546">
        <v>1</v>
      </c>
      <c r="E19" s="546">
        <v>0</v>
      </c>
      <c r="F19" s="546">
        <v>1</v>
      </c>
      <c r="G19" s="546">
        <f t="shared" si="0"/>
        <v>77</v>
      </c>
      <c r="H19" s="8">
        <v>75</v>
      </c>
      <c r="I19" s="8">
        <v>1</v>
      </c>
      <c r="J19" s="546">
        <v>0</v>
      </c>
      <c r="K19" s="8">
        <v>1</v>
      </c>
      <c r="L19" s="546">
        <f t="shared" si="1"/>
        <v>77</v>
      </c>
      <c r="M19" s="546">
        <f t="shared" si="2"/>
        <v>0</v>
      </c>
      <c r="N19" s="8"/>
    </row>
    <row r="20" spans="1:14">
      <c r="A20" s="204">
        <f t="shared" si="3"/>
        <v>10</v>
      </c>
      <c r="B20" s="204" t="s">
        <v>596</v>
      </c>
      <c r="C20" s="546">
        <v>190</v>
      </c>
      <c r="D20" s="546">
        <v>3</v>
      </c>
      <c r="E20" s="546">
        <v>1</v>
      </c>
      <c r="F20" s="546">
        <v>0</v>
      </c>
      <c r="G20" s="546">
        <f t="shared" si="0"/>
        <v>194</v>
      </c>
      <c r="H20" s="8">
        <v>190</v>
      </c>
      <c r="I20" s="8">
        <v>3</v>
      </c>
      <c r="J20" s="8">
        <v>1</v>
      </c>
      <c r="K20" s="546">
        <v>0</v>
      </c>
      <c r="L20" s="546">
        <f t="shared" si="1"/>
        <v>194</v>
      </c>
      <c r="M20" s="546">
        <f t="shared" si="2"/>
        <v>0</v>
      </c>
      <c r="N20" s="8"/>
    </row>
    <row r="21" spans="1:14">
      <c r="A21" s="204">
        <f t="shared" si="3"/>
        <v>11</v>
      </c>
      <c r="B21" s="204" t="s">
        <v>626</v>
      </c>
      <c r="C21" s="546">
        <v>102</v>
      </c>
      <c r="D21" s="546">
        <v>4</v>
      </c>
      <c r="E21" s="546">
        <v>0</v>
      </c>
      <c r="F21" s="546">
        <v>1</v>
      </c>
      <c r="G21" s="546">
        <f t="shared" si="0"/>
        <v>107</v>
      </c>
      <c r="H21" s="8">
        <v>102</v>
      </c>
      <c r="I21" s="8">
        <v>4</v>
      </c>
      <c r="J21" s="546">
        <v>0</v>
      </c>
      <c r="K21" s="8">
        <v>1</v>
      </c>
      <c r="L21" s="546">
        <f t="shared" si="1"/>
        <v>107</v>
      </c>
      <c r="M21" s="546">
        <f t="shared" si="2"/>
        <v>0</v>
      </c>
      <c r="N21" s="8"/>
    </row>
    <row r="22" spans="1:14">
      <c r="A22" s="204">
        <f t="shared" si="3"/>
        <v>12</v>
      </c>
      <c r="B22" s="204" t="s">
        <v>597</v>
      </c>
      <c r="C22" s="546">
        <v>121</v>
      </c>
      <c r="D22" s="546">
        <v>0</v>
      </c>
      <c r="E22" s="546">
        <v>0</v>
      </c>
      <c r="F22" s="546">
        <v>2</v>
      </c>
      <c r="G22" s="546">
        <f t="shared" si="0"/>
        <v>123</v>
      </c>
      <c r="H22" s="8">
        <v>121</v>
      </c>
      <c r="I22" s="546">
        <v>0</v>
      </c>
      <c r="J22" s="546">
        <v>0</v>
      </c>
      <c r="K22" s="8">
        <v>2</v>
      </c>
      <c r="L22" s="546">
        <f t="shared" si="1"/>
        <v>123</v>
      </c>
      <c r="M22" s="546">
        <f t="shared" si="2"/>
        <v>0</v>
      </c>
      <c r="N22" s="8"/>
    </row>
    <row r="23" spans="1:14">
      <c r="A23" s="204">
        <f t="shared" si="3"/>
        <v>13</v>
      </c>
      <c r="B23" s="204" t="s">
        <v>598</v>
      </c>
      <c r="C23" s="546">
        <v>89</v>
      </c>
      <c r="D23" s="546">
        <v>6</v>
      </c>
      <c r="E23" s="546">
        <v>1</v>
      </c>
      <c r="F23" s="546">
        <v>4</v>
      </c>
      <c r="G23" s="546">
        <f t="shared" si="0"/>
        <v>100</v>
      </c>
      <c r="H23" s="8">
        <v>89</v>
      </c>
      <c r="I23" s="8">
        <v>6</v>
      </c>
      <c r="J23" s="8">
        <v>1</v>
      </c>
      <c r="K23" s="8">
        <v>4</v>
      </c>
      <c r="L23" s="546">
        <f t="shared" si="1"/>
        <v>100</v>
      </c>
      <c r="M23" s="546">
        <f t="shared" si="2"/>
        <v>0</v>
      </c>
      <c r="N23" s="8"/>
    </row>
    <row r="24" spans="1:14">
      <c r="A24" s="204">
        <f t="shared" si="3"/>
        <v>14</v>
      </c>
      <c r="B24" s="204" t="s">
        <v>627</v>
      </c>
      <c r="C24" s="546">
        <v>96</v>
      </c>
      <c r="D24" s="546">
        <v>1</v>
      </c>
      <c r="E24" s="546">
        <v>0</v>
      </c>
      <c r="F24" s="546">
        <v>0</v>
      </c>
      <c r="G24" s="546">
        <f t="shared" si="0"/>
        <v>97</v>
      </c>
      <c r="H24" s="8">
        <v>96</v>
      </c>
      <c r="I24" s="8">
        <v>1</v>
      </c>
      <c r="J24" s="546">
        <v>0</v>
      </c>
      <c r="K24" s="546">
        <v>0</v>
      </c>
      <c r="L24" s="546">
        <f t="shared" si="1"/>
        <v>97</v>
      </c>
      <c r="M24" s="546">
        <f t="shared" si="2"/>
        <v>0</v>
      </c>
      <c r="N24" s="8"/>
    </row>
    <row r="25" spans="1:14">
      <c r="A25" s="204">
        <f t="shared" si="3"/>
        <v>15</v>
      </c>
      <c r="B25" s="204" t="s">
        <v>599</v>
      </c>
      <c r="C25" s="546">
        <v>130</v>
      </c>
      <c r="D25" s="546">
        <v>0</v>
      </c>
      <c r="E25" s="546">
        <v>0</v>
      </c>
      <c r="F25" s="546">
        <v>0</v>
      </c>
      <c r="G25" s="546">
        <f t="shared" si="0"/>
        <v>130</v>
      </c>
      <c r="H25" s="8">
        <v>130</v>
      </c>
      <c r="I25" s="546">
        <v>0</v>
      </c>
      <c r="J25" s="546">
        <v>0</v>
      </c>
      <c r="K25" s="546">
        <v>0</v>
      </c>
      <c r="L25" s="546">
        <f t="shared" si="1"/>
        <v>130</v>
      </c>
      <c r="M25" s="546">
        <f t="shared" si="2"/>
        <v>0</v>
      </c>
      <c r="N25" s="8"/>
    </row>
    <row r="26" spans="1:14">
      <c r="A26" s="204">
        <f t="shared" si="3"/>
        <v>16</v>
      </c>
      <c r="B26" s="204" t="s">
        <v>600</v>
      </c>
      <c r="C26" s="546">
        <v>22</v>
      </c>
      <c r="D26" s="546">
        <v>6</v>
      </c>
      <c r="E26" s="546">
        <v>0</v>
      </c>
      <c r="F26" s="546">
        <v>5</v>
      </c>
      <c r="G26" s="546">
        <f t="shared" si="0"/>
        <v>33</v>
      </c>
      <c r="H26" s="8">
        <v>22</v>
      </c>
      <c r="I26" s="8">
        <v>6</v>
      </c>
      <c r="J26" s="546">
        <v>0</v>
      </c>
      <c r="K26" s="8">
        <v>5</v>
      </c>
      <c r="L26" s="546">
        <f t="shared" si="1"/>
        <v>33</v>
      </c>
      <c r="M26" s="546">
        <f t="shared" si="2"/>
        <v>0</v>
      </c>
      <c r="N26" s="8"/>
    </row>
    <row r="27" spans="1:14" s="527" customFormat="1">
      <c r="A27" s="204">
        <f t="shared" si="3"/>
        <v>17</v>
      </c>
      <c r="B27" s="529" t="s">
        <v>684</v>
      </c>
      <c r="C27" s="546">
        <v>44</v>
      </c>
      <c r="D27" s="546">
        <v>0</v>
      </c>
      <c r="E27" s="546">
        <v>0</v>
      </c>
      <c r="F27" s="546">
        <v>0</v>
      </c>
      <c r="G27" s="546">
        <f t="shared" si="0"/>
        <v>44</v>
      </c>
      <c r="H27" s="8">
        <v>44</v>
      </c>
      <c r="I27" s="546">
        <v>0</v>
      </c>
      <c r="J27" s="546">
        <v>0</v>
      </c>
      <c r="K27" s="546">
        <v>0</v>
      </c>
      <c r="L27" s="546">
        <f t="shared" si="1"/>
        <v>44</v>
      </c>
      <c r="M27" s="546">
        <f t="shared" si="2"/>
        <v>0</v>
      </c>
      <c r="N27" s="8"/>
    </row>
    <row r="28" spans="1:14">
      <c r="A28" s="204">
        <f t="shared" si="3"/>
        <v>18</v>
      </c>
      <c r="B28" s="204" t="s">
        <v>601</v>
      </c>
      <c r="C28" s="546">
        <v>129</v>
      </c>
      <c r="D28" s="546">
        <v>2</v>
      </c>
      <c r="E28" s="546">
        <v>0</v>
      </c>
      <c r="F28" s="546">
        <v>0</v>
      </c>
      <c r="G28" s="546">
        <f t="shared" si="0"/>
        <v>131</v>
      </c>
      <c r="H28" s="8">
        <v>129</v>
      </c>
      <c r="I28" s="8">
        <v>2</v>
      </c>
      <c r="J28" s="546">
        <v>0</v>
      </c>
      <c r="K28" s="546">
        <v>0</v>
      </c>
      <c r="L28" s="546">
        <f t="shared" si="1"/>
        <v>131</v>
      </c>
      <c r="M28" s="546">
        <f t="shared" si="2"/>
        <v>0</v>
      </c>
      <c r="N28" s="8"/>
    </row>
    <row r="29" spans="1:14">
      <c r="A29" s="204">
        <f t="shared" si="3"/>
        <v>19</v>
      </c>
      <c r="B29" s="204" t="s">
        <v>602</v>
      </c>
      <c r="C29" s="546">
        <v>127</v>
      </c>
      <c r="D29" s="546">
        <v>6</v>
      </c>
      <c r="E29" s="546">
        <v>0</v>
      </c>
      <c r="F29" s="546">
        <v>2</v>
      </c>
      <c r="G29" s="546">
        <f t="shared" si="0"/>
        <v>135</v>
      </c>
      <c r="H29" s="8">
        <v>127</v>
      </c>
      <c r="I29" s="8">
        <v>6</v>
      </c>
      <c r="J29" s="546">
        <v>0</v>
      </c>
      <c r="K29" s="8">
        <v>2</v>
      </c>
      <c r="L29" s="546">
        <f t="shared" si="1"/>
        <v>135</v>
      </c>
      <c r="M29" s="546">
        <f t="shared" si="2"/>
        <v>0</v>
      </c>
      <c r="N29" s="8"/>
    </row>
    <row r="30" spans="1:14" s="527" customFormat="1">
      <c r="A30" s="204">
        <f t="shared" si="3"/>
        <v>20</v>
      </c>
      <c r="B30" s="529" t="s">
        <v>683</v>
      </c>
      <c r="C30" s="546">
        <v>85</v>
      </c>
      <c r="D30" s="546">
        <v>0</v>
      </c>
      <c r="E30" s="546">
        <v>0</v>
      </c>
      <c r="F30" s="546">
        <v>1</v>
      </c>
      <c r="G30" s="546">
        <f t="shared" si="0"/>
        <v>86</v>
      </c>
      <c r="H30" s="8">
        <v>85</v>
      </c>
      <c r="I30" s="546">
        <v>0</v>
      </c>
      <c r="J30" s="546">
        <v>0</v>
      </c>
      <c r="K30" s="8">
        <v>1</v>
      </c>
      <c r="L30" s="546">
        <f t="shared" si="1"/>
        <v>86</v>
      </c>
      <c r="M30" s="546">
        <f t="shared" si="2"/>
        <v>0</v>
      </c>
      <c r="N30" s="8"/>
    </row>
    <row r="31" spans="1:14">
      <c r="A31" s="204">
        <f t="shared" si="3"/>
        <v>21</v>
      </c>
      <c r="B31" s="529" t="s">
        <v>628</v>
      </c>
      <c r="C31" s="546">
        <v>85</v>
      </c>
      <c r="D31" s="546">
        <v>0</v>
      </c>
      <c r="E31" s="546">
        <v>0</v>
      </c>
      <c r="F31" s="546">
        <v>8</v>
      </c>
      <c r="G31" s="546">
        <f t="shared" si="0"/>
        <v>93</v>
      </c>
      <c r="H31" s="8">
        <v>85</v>
      </c>
      <c r="I31" s="546">
        <v>0</v>
      </c>
      <c r="J31" s="546">
        <v>0</v>
      </c>
      <c r="K31" s="8">
        <v>8</v>
      </c>
      <c r="L31" s="546">
        <f t="shared" si="1"/>
        <v>93</v>
      </c>
      <c r="M31" s="546">
        <f t="shared" si="2"/>
        <v>0</v>
      </c>
      <c r="N31" s="8"/>
    </row>
    <row r="32" spans="1:14">
      <c r="A32" s="204">
        <f t="shared" si="3"/>
        <v>22</v>
      </c>
      <c r="B32" s="204" t="s">
        <v>603</v>
      </c>
      <c r="C32" s="546">
        <v>135</v>
      </c>
      <c r="D32" s="546">
        <v>6</v>
      </c>
      <c r="E32" s="546">
        <v>0</v>
      </c>
      <c r="F32" s="546">
        <v>0</v>
      </c>
      <c r="G32" s="546">
        <f t="shared" si="0"/>
        <v>141</v>
      </c>
      <c r="H32" s="8">
        <v>135</v>
      </c>
      <c r="I32" s="8">
        <v>6</v>
      </c>
      <c r="J32" s="546">
        <v>0</v>
      </c>
      <c r="K32" s="546">
        <v>0</v>
      </c>
      <c r="L32" s="546">
        <f t="shared" si="1"/>
        <v>141</v>
      </c>
      <c r="M32" s="546">
        <f t="shared" si="2"/>
        <v>0</v>
      </c>
      <c r="N32" s="8"/>
    </row>
    <row r="33" spans="1:14">
      <c r="A33" s="204">
        <f t="shared" si="3"/>
        <v>23</v>
      </c>
      <c r="B33" s="204" t="s">
        <v>604</v>
      </c>
      <c r="C33" s="546">
        <v>83</v>
      </c>
      <c r="D33" s="546">
        <v>2</v>
      </c>
      <c r="E33" s="546">
        <v>0</v>
      </c>
      <c r="F33" s="546">
        <v>0</v>
      </c>
      <c r="G33" s="546">
        <f t="shared" si="0"/>
        <v>85</v>
      </c>
      <c r="H33" s="8">
        <v>83</v>
      </c>
      <c r="I33" s="8">
        <v>2</v>
      </c>
      <c r="J33" s="546">
        <v>0</v>
      </c>
      <c r="K33" s="546">
        <v>0</v>
      </c>
      <c r="L33" s="546">
        <f t="shared" si="1"/>
        <v>85</v>
      </c>
      <c r="M33" s="546">
        <f t="shared" si="2"/>
        <v>0</v>
      </c>
      <c r="N33" s="8"/>
    </row>
    <row r="34" spans="1:14">
      <c r="A34" s="204">
        <f t="shared" si="3"/>
        <v>24</v>
      </c>
      <c r="B34" s="204" t="s">
        <v>605</v>
      </c>
      <c r="C34" s="546">
        <v>38</v>
      </c>
      <c r="D34" s="546">
        <v>0</v>
      </c>
      <c r="E34" s="546">
        <v>0</v>
      </c>
      <c r="F34" s="546">
        <v>0</v>
      </c>
      <c r="G34" s="546">
        <f t="shared" si="0"/>
        <v>38</v>
      </c>
      <c r="H34" s="8">
        <v>38</v>
      </c>
      <c r="I34" s="546">
        <v>0</v>
      </c>
      <c r="J34" s="546">
        <v>0</v>
      </c>
      <c r="K34" s="546">
        <v>0</v>
      </c>
      <c r="L34" s="8">
        <f t="shared" ref="L34:L43" si="4">SUM(H34:K34)</f>
        <v>38</v>
      </c>
      <c r="M34" s="8">
        <f t="shared" ref="M34:M43" si="5">G34-L34</f>
        <v>0</v>
      </c>
      <c r="N34" s="8"/>
    </row>
    <row r="35" spans="1:14">
      <c r="A35" s="204">
        <f t="shared" si="3"/>
        <v>25</v>
      </c>
      <c r="B35" s="204" t="s">
        <v>606</v>
      </c>
      <c r="C35" s="546">
        <v>181</v>
      </c>
      <c r="D35" s="546">
        <v>6</v>
      </c>
      <c r="E35" s="546">
        <v>0</v>
      </c>
      <c r="F35" s="546">
        <v>10</v>
      </c>
      <c r="G35" s="546">
        <f t="shared" si="0"/>
        <v>197</v>
      </c>
      <c r="H35" s="8">
        <v>181</v>
      </c>
      <c r="I35" s="8">
        <v>6</v>
      </c>
      <c r="J35" s="546">
        <v>0</v>
      </c>
      <c r="K35" s="8">
        <v>10</v>
      </c>
      <c r="L35" s="8">
        <f t="shared" si="4"/>
        <v>197</v>
      </c>
      <c r="M35" s="8">
        <f t="shared" si="5"/>
        <v>0</v>
      </c>
      <c r="N35" s="8"/>
    </row>
    <row r="36" spans="1:14">
      <c r="A36" s="204">
        <f t="shared" si="3"/>
        <v>26</v>
      </c>
      <c r="B36" s="204" t="s">
        <v>607</v>
      </c>
      <c r="C36" s="546">
        <v>195</v>
      </c>
      <c r="D36" s="546">
        <v>0</v>
      </c>
      <c r="E36" s="546">
        <v>0</v>
      </c>
      <c r="F36" s="546">
        <v>0</v>
      </c>
      <c r="G36" s="546">
        <f t="shared" si="0"/>
        <v>195</v>
      </c>
      <c r="H36" s="8">
        <v>195</v>
      </c>
      <c r="I36" s="546">
        <v>0</v>
      </c>
      <c r="J36" s="546">
        <v>0</v>
      </c>
      <c r="K36" s="546">
        <v>0</v>
      </c>
      <c r="L36" s="8">
        <f t="shared" si="4"/>
        <v>195</v>
      </c>
      <c r="M36" s="8">
        <f t="shared" si="5"/>
        <v>0</v>
      </c>
      <c r="N36" s="8"/>
    </row>
    <row r="37" spans="1:14">
      <c r="A37" s="204">
        <f t="shared" si="3"/>
        <v>27</v>
      </c>
      <c r="B37" s="204" t="s">
        <v>608</v>
      </c>
      <c r="C37" s="546">
        <v>113</v>
      </c>
      <c r="D37" s="546">
        <v>0</v>
      </c>
      <c r="E37" s="546">
        <v>0</v>
      </c>
      <c r="F37" s="546">
        <v>1</v>
      </c>
      <c r="G37" s="546">
        <f t="shared" si="0"/>
        <v>114</v>
      </c>
      <c r="H37" s="8">
        <v>113</v>
      </c>
      <c r="I37" s="546">
        <v>0</v>
      </c>
      <c r="J37" s="546">
        <v>0</v>
      </c>
      <c r="K37" s="8">
        <v>1</v>
      </c>
      <c r="L37" s="8">
        <f t="shared" si="4"/>
        <v>114</v>
      </c>
      <c r="M37" s="8">
        <f t="shared" si="5"/>
        <v>0</v>
      </c>
      <c r="N37" s="8"/>
    </row>
    <row r="38" spans="1:14">
      <c r="A38" s="204">
        <f t="shared" si="3"/>
        <v>28</v>
      </c>
      <c r="B38" s="204" t="s">
        <v>609</v>
      </c>
      <c r="C38" s="546">
        <v>78</v>
      </c>
      <c r="D38" s="546">
        <v>1</v>
      </c>
      <c r="E38" s="546">
        <v>0</v>
      </c>
      <c r="F38" s="546">
        <v>3</v>
      </c>
      <c r="G38" s="546">
        <f t="shared" si="0"/>
        <v>82</v>
      </c>
      <c r="H38" s="8">
        <v>78</v>
      </c>
      <c r="I38" s="8">
        <v>1</v>
      </c>
      <c r="J38" s="546">
        <v>0</v>
      </c>
      <c r="K38" s="8">
        <v>3</v>
      </c>
      <c r="L38" s="8">
        <f t="shared" si="4"/>
        <v>82</v>
      </c>
      <c r="M38" s="8">
        <f t="shared" si="5"/>
        <v>0</v>
      </c>
      <c r="N38" s="8"/>
    </row>
    <row r="39" spans="1:14">
      <c r="A39" s="204">
        <f t="shared" si="3"/>
        <v>29</v>
      </c>
      <c r="B39" s="204" t="s">
        <v>610</v>
      </c>
      <c r="C39" s="546">
        <v>112</v>
      </c>
      <c r="D39" s="546">
        <v>0</v>
      </c>
      <c r="E39" s="546">
        <v>0</v>
      </c>
      <c r="F39" s="546">
        <v>1</v>
      </c>
      <c r="G39" s="546">
        <f t="shared" si="0"/>
        <v>113</v>
      </c>
      <c r="H39" s="8">
        <v>112</v>
      </c>
      <c r="I39" s="546">
        <v>0</v>
      </c>
      <c r="J39" s="546">
        <v>0</v>
      </c>
      <c r="K39" s="8">
        <v>1</v>
      </c>
      <c r="L39" s="8">
        <f t="shared" si="4"/>
        <v>113</v>
      </c>
      <c r="M39" s="8">
        <f t="shared" si="5"/>
        <v>0</v>
      </c>
      <c r="N39" s="8"/>
    </row>
    <row r="40" spans="1:14">
      <c r="A40" s="204">
        <f t="shared" si="3"/>
        <v>30</v>
      </c>
      <c r="B40" s="502" t="s">
        <v>611</v>
      </c>
      <c r="C40" s="546">
        <v>58</v>
      </c>
      <c r="D40" s="546">
        <v>0</v>
      </c>
      <c r="E40" s="546">
        <v>0</v>
      </c>
      <c r="F40" s="546">
        <v>0</v>
      </c>
      <c r="G40" s="546">
        <f t="shared" si="0"/>
        <v>58</v>
      </c>
      <c r="H40" s="8">
        <v>58</v>
      </c>
      <c r="I40" s="546">
        <v>0</v>
      </c>
      <c r="J40" s="546">
        <v>0</v>
      </c>
      <c r="K40" s="546">
        <v>0</v>
      </c>
      <c r="L40" s="8">
        <f t="shared" si="4"/>
        <v>58</v>
      </c>
      <c r="M40" s="8">
        <f t="shared" si="5"/>
        <v>0</v>
      </c>
      <c r="N40" s="8"/>
    </row>
    <row r="41" spans="1:14">
      <c r="A41" s="204">
        <f t="shared" si="3"/>
        <v>31</v>
      </c>
      <c r="B41" s="502" t="s">
        <v>612</v>
      </c>
      <c r="C41" s="546">
        <v>79</v>
      </c>
      <c r="D41" s="546">
        <v>2</v>
      </c>
      <c r="E41" s="546">
        <v>0</v>
      </c>
      <c r="F41" s="546">
        <v>0</v>
      </c>
      <c r="G41" s="546">
        <f t="shared" si="0"/>
        <v>81</v>
      </c>
      <c r="H41" s="8">
        <v>79</v>
      </c>
      <c r="I41" s="8">
        <v>2</v>
      </c>
      <c r="J41" s="546">
        <v>0</v>
      </c>
      <c r="K41" s="546">
        <v>0</v>
      </c>
      <c r="L41" s="8">
        <f t="shared" si="4"/>
        <v>81</v>
      </c>
      <c r="M41" s="8">
        <f t="shared" si="5"/>
        <v>0</v>
      </c>
      <c r="N41" s="8"/>
    </row>
    <row r="42" spans="1:14">
      <c r="A42" s="204">
        <f t="shared" si="3"/>
        <v>32</v>
      </c>
      <c r="B42" s="502" t="s">
        <v>613</v>
      </c>
      <c r="C42" s="546">
        <v>47</v>
      </c>
      <c r="D42" s="546">
        <v>12</v>
      </c>
      <c r="E42" s="546">
        <v>0</v>
      </c>
      <c r="F42" s="546">
        <v>3</v>
      </c>
      <c r="G42" s="546">
        <f t="shared" si="0"/>
        <v>62</v>
      </c>
      <c r="H42" s="8">
        <v>47</v>
      </c>
      <c r="I42" s="8">
        <v>12</v>
      </c>
      <c r="J42" s="546">
        <v>0</v>
      </c>
      <c r="K42" s="8">
        <v>3</v>
      </c>
      <c r="L42" s="8">
        <f t="shared" si="4"/>
        <v>62</v>
      </c>
      <c r="M42" s="8">
        <f t="shared" si="5"/>
        <v>0</v>
      </c>
      <c r="N42" s="8"/>
    </row>
    <row r="43" spans="1:14">
      <c r="A43" s="204">
        <f t="shared" si="3"/>
        <v>33</v>
      </c>
      <c r="B43" s="502" t="s">
        <v>614</v>
      </c>
      <c r="C43" s="546">
        <v>62</v>
      </c>
      <c r="D43" s="546">
        <v>0</v>
      </c>
      <c r="E43" s="546">
        <v>0</v>
      </c>
      <c r="F43" s="546">
        <v>1</v>
      </c>
      <c r="G43" s="546">
        <f t="shared" si="0"/>
        <v>63</v>
      </c>
      <c r="H43" s="8">
        <v>62</v>
      </c>
      <c r="I43" s="546">
        <v>0</v>
      </c>
      <c r="J43" s="546">
        <v>0</v>
      </c>
      <c r="K43" s="8">
        <v>1</v>
      </c>
      <c r="L43" s="8">
        <f t="shared" si="4"/>
        <v>63</v>
      </c>
      <c r="M43" s="8">
        <f t="shared" si="5"/>
        <v>0</v>
      </c>
      <c r="N43" s="8"/>
    </row>
    <row r="44" spans="1:14" s="360" customFormat="1">
      <c r="A44" s="414"/>
      <c r="B44" s="414" t="s">
        <v>615</v>
      </c>
      <c r="C44" s="494">
        <f>SUM(C11:C43)</f>
        <v>3175</v>
      </c>
      <c r="D44" s="494">
        <f t="shared" ref="D44:N44" si="6">SUM(D11:D43)</f>
        <v>98</v>
      </c>
      <c r="E44" s="494">
        <f t="shared" si="6"/>
        <v>6</v>
      </c>
      <c r="F44" s="494">
        <f t="shared" si="6"/>
        <v>57</v>
      </c>
      <c r="G44" s="494">
        <f t="shared" si="6"/>
        <v>3336</v>
      </c>
      <c r="H44" s="494">
        <f t="shared" si="6"/>
        <v>3174</v>
      </c>
      <c r="I44" s="494">
        <f t="shared" si="6"/>
        <v>89</v>
      </c>
      <c r="J44" s="494">
        <f t="shared" si="6"/>
        <v>6</v>
      </c>
      <c r="K44" s="494">
        <f t="shared" si="6"/>
        <v>50</v>
      </c>
      <c r="L44" s="494">
        <f t="shared" si="6"/>
        <v>3319</v>
      </c>
      <c r="M44" s="494" t="s">
        <v>888</v>
      </c>
      <c r="N44" s="494">
        <f t="shared" si="6"/>
        <v>0</v>
      </c>
    </row>
    <row r="45" spans="1:14" ht="5.25" customHeight="1">
      <c r="A45" s="3"/>
      <c r="B45" s="10"/>
      <c r="C45" s="10"/>
      <c r="D45" s="10"/>
      <c r="E45" s="10"/>
      <c r="F45" s="375"/>
      <c r="G45" s="375"/>
      <c r="H45" s="10"/>
      <c r="I45" s="10"/>
      <c r="J45" s="10"/>
      <c r="K45" s="10"/>
      <c r="L45" s="10"/>
      <c r="M45" s="10"/>
      <c r="N45" s="10"/>
    </row>
    <row r="46" spans="1:14">
      <c r="A46" s="9" t="s">
        <v>8</v>
      </c>
    </row>
    <row r="47" spans="1:14">
      <c r="A47" s="173" t="s">
        <v>9</v>
      </c>
    </row>
    <row r="48" spans="1:14">
      <c r="A48" s="173" t="s">
        <v>10</v>
      </c>
      <c r="L48" s="3" t="s">
        <v>11</v>
      </c>
      <c r="M48" s="3"/>
      <c r="N48" s="3" t="s">
        <v>11</v>
      </c>
    </row>
    <row r="49" spans="1:14" s="658" customFormat="1" ht="11.25">
      <c r="A49" s="658" t="s">
        <v>910</v>
      </c>
      <c r="J49" s="659"/>
      <c r="K49" s="659"/>
      <c r="L49" s="659"/>
    </row>
    <row r="50" spans="1:14"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2" spans="1:14" ht="14.25">
      <c r="K52" s="732" t="s">
        <v>908</v>
      </c>
      <c r="L52" s="732"/>
      <c r="M52" s="732"/>
      <c r="N52" s="732"/>
    </row>
    <row r="53" spans="1:14" ht="14.25">
      <c r="K53" s="732" t="s">
        <v>646</v>
      </c>
      <c r="L53" s="732"/>
      <c r="M53" s="732"/>
      <c r="N53" s="732"/>
    </row>
  </sheetData>
  <mergeCells count="13">
    <mergeCell ref="K52:N52"/>
    <mergeCell ref="K53:N53"/>
    <mergeCell ref="D1:J1"/>
    <mergeCell ref="A2:N2"/>
    <mergeCell ref="A3:N3"/>
    <mergeCell ref="A5:N5"/>
    <mergeCell ref="M8:M9"/>
    <mergeCell ref="N8:N9"/>
    <mergeCell ref="A8:A9"/>
    <mergeCell ref="B8:B9"/>
    <mergeCell ref="C8:G8"/>
    <mergeCell ref="H8:L8"/>
    <mergeCell ref="L7:N7"/>
  </mergeCells>
  <phoneticPr fontId="0" type="noConversion"/>
  <printOptions horizontalCentered="1"/>
  <pageMargins left="0.38" right="0.37" top="0.43" bottom="0" header="0.31496062992125984" footer="0.26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65</vt:i4>
      </vt:variant>
    </vt:vector>
  </HeadingPairs>
  <TitlesOfParts>
    <vt:vector size="135" baseType="lpstr">
      <vt:lpstr>First-Page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AT-10E</vt:lpstr>
      <vt:lpstr>AT-10 F CCH training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F CCH training'!Print_Area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 MIS'!Print_Area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mdm</cp:lastModifiedBy>
  <cp:lastPrinted>2020-05-21T10:45:25Z</cp:lastPrinted>
  <dcterms:created xsi:type="dcterms:W3CDTF">1996-10-14T23:33:28Z</dcterms:created>
  <dcterms:modified xsi:type="dcterms:W3CDTF">2020-05-23T06:45:58Z</dcterms:modified>
</cp:coreProperties>
</file>